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estületi ülések\Testületi ülések 2026\Testületi ülés 2026.09.28\"/>
    </mc:Choice>
  </mc:AlternateContent>
  <xr:revisionPtr revIDLastSave="0" documentId="13_ncr:1_{73E9DC79-16BB-4493-94F6-2C61406B6868}" xr6:coauthVersionLast="47" xr6:coauthVersionMax="47" xr10:uidLastSave="{00000000-0000-0000-0000-000000000000}"/>
  <bookViews>
    <workbookView xWindow="-120" yWindow="-120" windowWidth="29040" windowHeight="15720" activeTab="4" xr2:uid="{5F07878D-E99D-45C7-9042-0CFBDB25EF2B}"/>
  </bookViews>
  <sheets>
    <sheet name="1. melléklet" sheetId="2" r:id="rId1"/>
    <sheet name="2. melléklet" sheetId="3" r:id="rId2"/>
    <sheet name="3. melléklet" sheetId="15" r:id="rId3"/>
    <sheet name="4. melléklet" sheetId="5" r:id="rId4"/>
    <sheet name="5. melléklet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5" i="5" l="1"/>
  <c r="S34" i="5"/>
  <c r="S31" i="5"/>
  <c r="S30" i="5"/>
  <c r="S28" i="5"/>
  <c r="S27" i="5"/>
  <c r="R25" i="5"/>
  <c r="S25" i="5" s="1"/>
  <c r="S24" i="5"/>
  <c r="S23" i="5"/>
  <c r="S21" i="5"/>
  <c r="S18" i="5"/>
  <c r="S17" i="5"/>
  <c r="S16" i="5"/>
  <c r="S15" i="5"/>
  <c r="S14" i="5"/>
  <c r="S13" i="5"/>
  <c r="S12" i="5"/>
  <c r="S10" i="5"/>
  <c r="S9" i="5"/>
  <c r="R21" i="5"/>
  <c r="R35" i="5"/>
  <c r="R34" i="5"/>
  <c r="R33" i="5"/>
  <c r="R32" i="5"/>
  <c r="R31" i="5"/>
  <c r="R30" i="5"/>
  <c r="R29" i="5"/>
  <c r="R28" i="5"/>
  <c r="R27" i="5"/>
  <c r="R24" i="5"/>
  <c r="R23" i="5"/>
  <c r="R20" i="5"/>
  <c r="R19" i="5"/>
  <c r="R18" i="5"/>
  <c r="R17" i="5"/>
  <c r="R16" i="5"/>
  <c r="R15" i="5"/>
  <c r="R14" i="5"/>
  <c r="R13" i="5"/>
  <c r="R12" i="5"/>
  <c r="R10" i="5"/>
  <c r="R9" i="5"/>
  <c r="N34" i="5"/>
  <c r="O30" i="5"/>
  <c r="O23" i="5"/>
  <c r="N25" i="5"/>
  <c r="N35" i="5" s="1"/>
  <c r="J25" i="5"/>
  <c r="K24" i="5"/>
  <c r="J34" i="5"/>
  <c r="J10" i="5"/>
  <c r="K9" i="5"/>
  <c r="F17" i="5"/>
  <c r="F21" i="5" s="1"/>
  <c r="G31" i="5"/>
  <c r="G28" i="5"/>
  <c r="G27" i="5"/>
  <c r="G18" i="5"/>
  <c r="G16" i="5"/>
  <c r="G14" i="5"/>
  <c r="G13" i="5"/>
  <c r="G12" i="5"/>
  <c r="F34" i="5"/>
  <c r="R11" i="6"/>
  <c r="S11" i="6"/>
  <c r="S10" i="6"/>
  <c r="S9" i="6"/>
  <c r="R10" i="6"/>
  <c r="R9" i="6"/>
  <c r="Q10" i="6"/>
  <c r="Q9" i="6"/>
  <c r="P10" i="6"/>
  <c r="P9" i="6"/>
  <c r="F11" i="6"/>
  <c r="G10" i="6"/>
  <c r="G9" i="6"/>
  <c r="H64" i="15"/>
  <c r="H62" i="15"/>
  <c r="H59" i="15"/>
  <c r="H61" i="15"/>
  <c r="H60" i="15"/>
  <c r="H58" i="15"/>
  <c r="H57" i="15"/>
  <c r="F120" i="3"/>
  <c r="F55" i="3"/>
  <c r="F56" i="3" s="1"/>
  <c r="F90" i="2"/>
  <c r="G49" i="15"/>
  <c r="G48" i="15"/>
  <c r="G47" i="15"/>
  <c r="G46" i="15"/>
  <c r="G42" i="15"/>
  <c r="G41" i="15"/>
  <c r="G40" i="15"/>
  <c r="G37" i="15"/>
  <c r="G36" i="15"/>
  <c r="F36" i="15"/>
  <c r="G35" i="15"/>
  <c r="G34" i="15"/>
  <c r="G26" i="15"/>
  <c r="G25" i="15"/>
  <c r="G24" i="15"/>
  <c r="G23" i="15"/>
  <c r="G22" i="15"/>
  <c r="G21" i="15"/>
  <c r="G16" i="15"/>
  <c r="G15" i="15"/>
  <c r="G12" i="15"/>
  <c r="G11" i="15"/>
  <c r="G10" i="15"/>
  <c r="S113" i="3"/>
  <c r="S33" i="2"/>
  <c r="S29" i="2"/>
  <c r="K76" i="3"/>
  <c r="O78" i="3"/>
  <c r="R118" i="3"/>
  <c r="S118" i="3" s="1"/>
  <c r="S111" i="3"/>
  <c r="R111" i="3"/>
  <c r="S105" i="3"/>
  <c r="R104" i="3"/>
  <c r="R117" i="3"/>
  <c r="R116" i="3"/>
  <c r="R115" i="3"/>
  <c r="R114" i="3"/>
  <c r="R113" i="3"/>
  <c r="R112" i="3"/>
  <c r="R110" i="3"/>
  <c r="R109" i="3"/>
  <c r="R108" i="3"/>
  <c r="R107" i="3"/>
  <c r="R106" i="3"/>
  <c r="R105" i="3"/>
  <c r="R103" i="3"/>
  <c r="R102" i="3"/>
  <c r="R101" i="3"/>
  <c r="S93" i="3"/>
  <c r="S85" i="3"/>
  <c r="S80" i="3"/>
  <c r="S74" i="3"/>
  <c r="S59" i="3"/>
  <c r="S56" i="3"/>
  <c r="S55" i="3"/>
  <c r="S49" i="3"/>
  <c r="S46" i="3"/>
  <c r="S36" i="3"/>
  <c r="S33" i="3"/>
  <c r="S29" i="3"/>
  <c r="S89" i="3"/>
  <c r="S84" i="3"/>
  <c r="S81" i="3"/>
  <c r="S79" i="3"/>
  <c r="S78" i="3"/>
  <c r="S77" i="3"/>
  <c r="S76" i="3"/>
  <c r="S75" i="3"/>
  <c r="S72" i="3"/>
  <c r="S67" i="3"/>
  <c r="S58" i="3"/>
  <c r="S54" i="3"/>
  <c r="S53" i="3"/>
  <c r="S52" i="3"/>
  <c r="S50" i="3"/>
  <c r="S48" i="3"/>
  <c r="S47" i="3"/>
  <c r="S45" i="3"/>
  <c r="S44" i="3"/>
  <c r="S43" i="3"/>
  <c r="S42" i="3"/>
  <c r="S41" i="3"/>
  <c r="S40" i="3"/>
  <c r="S39" i="3"/>
  <c r="S38" i="3"/>
  <c r="S37" i="3"/>
  <c r="S35" i="3"/>
  <c r="S34" i="3"/>
  <c r="S31" i="3"/>
  <c r="S30" i="3"/>
  <c r="S25" i="3"/>
  <c r="S24" i="3"/>
  <c r="S22" i="3"/>
  <c r="S16" i="3"/>
  <c r="S15" i="3"/>
  <c r="S13" i="3"/>
  <c r="S12" i="3"/>
  <c r="S11" i="3"/>
  <c r="S10" i="3"/>
  <c r="R80" i="3"/>
  <c r="R74" i="3"/>
  <c r="R63" i="3"/>
  <c r="R59" i="3"/>
  <c r="R55" i="3"/>
  <c r="R56" i="3" s="1"/>
  <c r="R49" i="3"/>
  <c r="R46" i="3"/>
  <c r="R36" i="3"/>
  <c r="R33" i="3"/>
  <c r="R29" i="3"/>
  <c r="R85" i="3"/>
  <c r="R93" i="3"/>
  <c r="R92" i="3"/>
  <c r="R91" i="3"/>
  <c r="R90" i="3"/>
  <c r="R89" i="3"/>
  <c r="R88" i="3"/>
  <c r="R87" i="3"/>
  <c r="R86" i="3"/>
  <c r="R84" i="3"/>
  <c r="R83" i="3"/>
  <c r="R82" i="3"/>
  <c r="R81" i="3"/>
  <c r="R79" i="3"/>
  <c r="R78" i="3"/>
  <c r="R77" i="3"/>
  <c r="R76" i="3"/>
  <c r="R75" i="3"/>
  <c r="R72" i="3"/>
  <c r="R71" i="3"/>
  <c r="R70" i="3"/>
  <c r="R69" i="3"/>
  <c r="R68" i="3"/>
  <c r="R67" i="3"/>
  <c r="R66" i="3"/>
  <c r="R65" i="3"/>
  <c r="R64" i="3"/>
  <c r="R62" i="3"/>
  <c r="R61" i="3"/>
  <c r="R60" i="3"/>
  <c r="R58" i="3"/>
  <c r="R57" i="3"/>
  <c r="R54" i="3"/>
  <c r="R53" i="3"/>
  <c r="R52" i="3"/>
  <c r="R51" i="3"/>
  <c r="R50" i="3"/>
  <c r="R48" i="3"/>
  <c r="R47" i="3"/>
  <c r="R45" i="3"/>
  <c r="R44" i="3"/>
  <c r="R43" i="3"/>
  <c r="R42" i="3"/>
  <c r="R41" i="3"/>
  <c r="R40" i="3"/>
  <c r="R39" i="3"/>
  <c r="R38" i="3"/>
  <c r="R37" i="3"/>
  <c r="R35" i="3"/>
  <c r="R34" i="3"/>
  <c r="R32" i="3"/>
  <c r="R31" i="3"/>
  <c r="R30" i="3"/>
  <c r="R26" i="3"/>
  <c r="R27" i="3" s="1"/>
  <c r="R25" i="3"/>
  <c r="R24" i="3"/>
  <c r="R22" i="3"/>
  <c r="R21" i="3"/>
  <c r="R20" i="3"/>
  <c r="R19" i="3"/>
  <c r="S19" i="3" s="1"/>
  <c r="R18" i="3"/>
  <c r="S18" i="3" s="1"/>
  <c r="R17" i="3"/>
  <c r="R16" i="3"/>
  <c r="R15" i="3"/>
  <c r="R14" i="3"/>
  <c r="R13" i="3"/>
  <c r="R12" i="3"/>
  <c r="R11" i="3"/>
  <c r="R10" i="3"/>
  <c r="N104" i="3"/>
  <c r="N118" i="3"/>
  <c r="N120" i="3" s="1"/>
  <c r="O120" i="3" s="1"/>
  <c r="N111" i="3"/>
  <c r="N93" i="3"/>
  <c r="N94" i="3"/>
  <c r="O94" i="3" s="1"/>
  <c r="O80" i="3"/>
  <c r="O56" i="3"/>
  <c r="O55" i="3"/>
  <c r="O49" i="3"/>
  <c r="O46" i="3"/>
  <c r="O36" i="3"/>
  <c r="O33" i="3"/>
  <c r="O79" i="3"/>
  <c r="O77" i="3"/>
  <c r="O54" i="3"/>
  <c r="O50" i="3"/>
  <c r="O40" i="3"/>
  <c r="O39" i="3"/>
  <c r="O38" i="3"/>
  <c r="O37" i="3"/>
  <c r="O45" i="3"/>
  <c r="O44" i="3"/>
  <c r="O42" i="3"/>
  <c r="O35" i="3"/>
  <c r="O34" i="3"/>
  <c r="O31" i="3"/>
  <c r="O30" i="3"/>
  <c r="O29" i="3"/>
  <c r="O28" i="3"/>
  <c r="O27" i="3"/>
  <c r="O26" i="3"/>
  <c r="O25" i="3"/>
  <c r="O23" i="3"/>
  <c r="O22" i="3"/>
  <c r="O18" i="3"/>
  <c r="O16" i="3"/>
  <c r="O15" i="3"/>
  <c r="O13" i="3"/>
  <c r="O12" i="3"/>
  <c r="O10" i="3"/>
  <c r="N85" i="3"/>
  <c r="N59" i="3"/>
  <c r="N63" i="3"/>
  <c r="N74" i="3"/>
  <c r="N80" i="3"/>
  <c r="N56" i="3"/>
  <c r="N55" i="3"/>
  <c r="N49" i="3"/>
  <c r="N46" i="3"/>
  <c r="N36" i="3"/>
  <c r="N33" i="3"/>
  <c r="N28" i="3"/>
  <c r="N27" i="3"/>
  <c r="N23" i="3"/>
  <c r="S90" i="2"/>
  <c r="S81" i="2"/>
  <c r="R89" i="2"/>
  <c r="R88" i="2"/>
  <c r="R87" i="2"/>
  <c r="R86" i="2"/>
  <c r="R85" i="2"/>
  <c r="S85" i="2" s="1"/>
  <c r="S82" i="2"/>
  <c r="S77" i="2"/>
  <c r="R83" i="2"/>
  <c r="R82" i="2"/>
  <c r="R84" i="2" s="1"/>
  <c r="S84" i="2" s="1"/>
  <c r="R80" i="2"/>
  <c r="R79" i="2"/>
  <c r="R78" i="2"/>
  <c r="R81" i="2" s="1"/>
  <c r="R77" i="2"/>
  <c r="R75" i="2"/>
  <c r="R74" i="2"/>
  <c r="R73" i="2"/>
  <c r="S59" i="2"/>
  <c r="S53" i="2"/>
  <c r="S58" i="2"/>
  <c r="S49" i="2"/>
  <c r="S46" i="2"/>
  <c r="S44" i="2"/>
  <c r="S42" i="2"/>
  <c r="S39" i="2"/>
  <c r="S38" i="2"/>
  <c r="S36" i="2"/>
  <c r="S35" i="2"/>
  <c r="S32" i="2"/>
  <c r="S31" i="2"/>
  <c r="S30" i="2"/>
  <c r="S28" i="2"/>
  <c r="S18" i="2"/>
  <c r="R64" i="2"/>
  <c r="S64" i="2" s="1"/>
  <c r="R63" i="2"/>
  <c r="R62" i="2"/>
  <c r="R61" i="2"/>
  <c r="R60" i="2"/>
  <c r="R58" i="2"/>
  <c r="R57" i="2"/>
  <c r="R56" i="2"/>
  <c r="R55" i="2"/>
  <c r="R54" i="2"/>
  <c r="R52" i="2"/>
  <c r="R51" i="2"/>
  <c r="R50" i="2"/>
  <c r="R53" i="2" s="1"/>
  <c r="R49" i="2"/>
  <c r="R48" i="2"/>
  <c r="R46" i="2"/>
  <c r="R45" i="2"/>
  <c r="R44" i="2"/>
  <c r="R43" i="2"/>
  <c r="R42" i="2"/>
  <c r="R41" i="2"/>
  <c r="R40" i="2"/>
  <c r="R39" i="2"/>
  <c r="R38" i="2"/>
  <c r="R37" i="2"/>
  <c r="R36" i="2"/>
  <c r="R35" i="2"/>
  <c r="R47" i="2" s="1"/>
  <c r="S47" i="2" s="1"/>
  <c r="R34" i="2"/>
  <c r="R32" i="2"/>
  <c r="R31" i="2"/>
  <c r="R30" i="2"/>
  <c r="R33" i="2" s="1"/>
  <c r="R28" i="2"/>
  <c r="R27" i="2"/>
  <c r="R26" i="2"/>
  <c r="R25" i="2"/>
  <c r="R24" i="2"/>
  <c r="R22" i="2"/>
  <c r="S22" i="2" s="1"/>
  <c r="R21" i="2"/>
  <c r="R20" i="2"/>
  <c r="R19" i="2"/>
  <c r="R18" i="2"/>
  <c r="S15" i="2"/>
  <c r="S14" i="2"/>
  <c r="S13" i="2"/>
  <c r="S12" i="2"/>
  <c r="S11" i="2"/>
  <c r="S10" i="2"/>
  <c r="R16" i="2"/>
  <c r="R15" i="2"/>
  <c r="R14" i="2"/>
  <c r="R13" i="2"/>
  <c r="R12" i="2"/>
  <c r="R11" i="2"/>
  <c r="R17" i="2" s="1"/>
  <c r="G8" i="15" s="1"/>
  <c r="R10" i="2"/>
  <c r="R90" i="2"/>
  <c r="R76" i="2"/>
  <c r="R59" i="2"/>
  <c r="R29" i="2"/>
  <c r="O93" i="2"/>
  <c r="N93" i="2"/>
  <c r="O91" i="2"/>
  <c r="N91" i="2"/>
  <c r="N90" i="2"/>
  <c r="O84" i="2"/>
  <c r="N84" i="2"/>
  <c r="O82" i="2"/>
  <c r="N81" i="2"/>
  <c r="N76" i="2"/>
  <c r="O66" i="2"/>
  <c r="N66" i="2"/>
  <c r="N65" i="2"/>
  <c r="N59" i="2"/>
  <c r="N53" i="2"/>
  <c r="O47" i="2"/>
  <c r="N47" i="2"/>
  <c r="O46" i="2"/>
  <c r="O42" i="2"/>
  <c r="O38" i="2"/>
  <c r="N33" i="2"/>
  <c r="N29" i="2"/>
  <c r="N23" i="2"/>
  <c r="N17" i="2"/>
  <c r="J118" i="3"/>
  <c r="J104" i="3"/>
  <c r="J111" i="3"/>
  <c r="J93" i="3"/>
  <c r="K79" i="3"/>
  <c r="K78" i="3"/>
  <c r="K77" i="3"/>
  <c r="K75" i="3"/>
  <c r="J80" i="3"/>
  <c r="J63" i="3"/>
  <c r="J74" i="3" s="1"/>
  <c r="J59" i="3"/>
  <c r="K54" i="3"/>
  <c r="K50" i="3"/>
  <c r="J55" i="3"/>
  <c r="K47" i="3"/>
  <c r="J49" i="3"/>
  <c r="K45" i="3"/>
  <c r="K44" i="3"/>
  <c r="K41" i="3"/>
  <c r="K39" i="3"/>
  <c r="K38" i="3"/>
  <c r="J46" i="3"/>
  <c r="J36" i="3"/>
  <c r="J56" i="3" s="1"/>
  <c r="K35" i="3"/>
  <c r="K34" i="3"/>
  <c r="J33" i="3"/>
  <c r="K31" i="3"/>
  <c r="K30" i="3"/>
  <c r="K29" i="3"/>
  <c r="J27" i="3"/>
  <c r="K26" i="3"/>
  <c r="K25" i="3"/>
  <c r="K17" i="3"/>
  <c r="K22" i="3"/>
  <c r="K19" i="3"/>
  <c r="K18" i="3"/>
  <c r="K12" i="3"/>
  <c r="K11" i="3"/>
  <c r="J23" i="3"/>
  <c r="J90" i="2"/>
  <c r="J84" i="2"/>
  <c r="K82" i="2"/>
  <c r="J65" i="2"/>
  <c r="J59" i="2"/>
  <c r="J53" i="2"/>
  <c r="K46" i="2"/>
  <c r="J47" i="2"/>
  <c r="K42" i="2"/>
  <c r="J33" i="2"/>
  <c r="K22" i="2"/>
  <c r="J29" i="2"/>
  <c r="J23" i="2"/>
  <c r="J17" i="2"/>
  <c r="J66" i="2" s="1"/>
  <c r="G113" i="3"/>
  <c r="G105" i="3"/>
  <c r="F104" i="3"/>
  <c r="F111" i="3" s="1"/>
  <c r="F93" i="3"/>
  <c r="G89" i="3"/>
  <c r="F85" i="3"/>
  <c r="G84" i="3"/>
  <c r="G81" i="3"/>
  <c r="F80" i="3"/>
  <c r="G79" i="3"/>
  <c r="G78" i="3"/>
  <c r="G76" i="3"/>
  <c r="G72" i="3"/>
  <c r="G67" i="3"/>
  <c r="F63" i="3"/>
  <c r="F74" i="3" s="1"/>
  <c r="G58" i="3"/>
  <c r="F59" i="3"/>
  <c r="G54" i="3"/>
  <c r="G53" i="3"/>
  <c r="G52" i="3"/>
  <c r="G51" i="3"/>
  <c r="G50" i="3"/>
  <c r="G48" i="3"/>
  <c r="G47" i="3"/>
  <c r="F49" i="3"/>
  <c r="F46" i="3"/>
  <c r="G45" i="3"/>
  <c r="G44" i="3"/>
  <c r="G43" i="3"/>
  <c r="G42" i="3"/>
  <c r="G41" i="3"/>
  <c r="G40" i="3"/>
  <c r="G39" i="3"/>
  <c r="G38" i="3"/>
  <c r="G37" i="3"/>
  <c r="F36" i="3"/>
  <c r="G35" i="3"/>
  <c r="G34" i="3"/>
  <c r="F33" i="3"/>
  <c r="G31" i="3"/>
  <c r="G30" i="3"/>
  <c r="F27" i="3"/>
  <c r="G26" i="3"/>
  <c r="G25" i="3"/>
  <c r="F23" i="3"/>
  <c r="G22" i="3"/>
  <c r="G18" i="3"/>
  <c r="G12" i="3"/>
  <c r="G10" i="3"/>
  <c r="G85" i="2"/>
  <c r="G82" i="2"/>
  <c r="G77" i="2"/>
  <c r="F84" i="2"/>
  <c r="F81" i="2"/>
  <c r="F76" i="2"/>
  <c r="F65" i="2"/>
  <c r="G64" i="2"/>
  <c r="G63" i="2"/>
  <c r="F59" i="2"/>
  <c r="G58" i="2"/>
  <c r="G57" i="2"/>
  <c r="F53" i="2"/>
  <c r="G49" i="2"/>
  <c r="F47" i="2"/>
  <c r="G46" i="2"/>
  <c r="G44" i="2"/>
  <c r="G42" i="2"/>
  <c r="G38" i="2"/>
  <c r="G36" i="2"/>
  <c r="G35" i="2"/>
  <c r="F33" i="2"/>
  <c r="F29" i="2"/>
  <c r="F23" i="2"/>
  <c r="F17" i="2"/>
  <c r="G32" i="2"/>
  <c r="G31" i="2"/>
  <c r="G30" i="2"/>
  <c r="G28" i="2"/>
  <c r="G22" i="2"/>
  <c r="G18" i="2"/>
  <c r="G15" i="2"/>
  <c r="G14" i="2"/>
  <c r="G13" i="2"/>
  <c r="G12" i="2"/>
  <c r="G11" i="2"/>
  <c r="G10" i="2"/>
  <c r="J35" i="5" l="1"/>
  <c r="G17" i="5"/>
  <c r="F35" i="5"/>
  <c r="S26" i="3"/>
  <c r="J28" i="3"/>
  <c r="R23" i="3"/>
  <c r="S23" i="3" s="1"/>
  <c r="R28" i="3"/>
  <c r="S27" i="3"/>
  <c r="G33" i="15"/>
  <c r="R23" i="2"/>
  <c r="G9" i="15" s="1"/>
  <c r="S23" i="2"/>
  <c r="S17" i="2"/>
  <c r="R65" i="2"/>
  <c r="H36" i="15"/>
  <c r="R91" i="2"/>
  <c r="S91" i="2" s="1"/>
  <c r="R66" i="2"/>
  <c r="R93" i="2" s="1"/>
  <c r="S93" i="2" s="1"/>
  <c r="J94" i="3"/>
  <c r="F118" i="3"/>
  <c r="F28" i="3"/>
  <c r="J91" i="2"/>
  <c r="J93" i="2" s="1"/>
  <c r="F66" i="2"/>
  <c r="F91" i="2"/>
  <c r="R94" i="3" l="1"/>
  <c r="S28" i="3"/>
  <c r="S66" i="2"/>
  <c r="S65" i="2"/>
  <c r="G17" i="15"/>
  <c r="G18" i="15" s="1"/>
  <c r="J120" i="3"/>
  <c r="F94" i="3"/>
  <c r="F93" i="2"/>
  <c r="S94" i="3" l="1"/>
  <c r="R120" i="3"/>
  <c r="S120" i="3" s="1"/>
  <c r="E11" i="6" l="1"/>
  <c r="G11" i="6" s="1"/>
  <c r="D11" i="6"/>
  <c r="H11" i="6"/>
  <c r="I11" i="6"/>
  <c r="L11" i="6"/>
  <c r="M11" i="6"/>
  <c r="P11" i="6"/>
  <c r="Q11" i="6"/>
  <c r="E29" i="3"/>
  <c r="E24" i="3"/>
  <c r="G24" i="3" s="1"/>
  <c r="E16" i="3"/>
  <c r="G16" i="3" s="1"/>
  <c r="G29" i="3" l="1"/>
  <c r="I31" i="5"/>
  <c r="K31" i="5" s="1"/>
  <c r="Q18" i="5" l="1"/>
  <c r="E15" i="5"/>
  <c r="G15" i="5" s="1"/>
  <c r="D22" i="2"/>
  <c r="I16" i="3" l="1"/>
  <c r="K16" i="3" s="1"/>
  <c r="I10" i="3"/>
  <c r="K10" i="3" s="1"/>
  <c r="M79" i="3"/>
  <c r="M16" i="3"/>
  <c r="M10" i="3"/>
  <c r="E39" i="2"/>
  <c r="G39" i="2" s="1"/>
  <c r="D79" i="3"/>
  <c r="L10" i="3" l="1"/>
  <c r="H10" i="3"/>
  <c r="P18" i="5"/>
  <c r="L29" i="3"/>
  <c r="L16" i="3"/>
  <c r="H29" i="3"/>
  <c r="H16" i="3"/>
  <c r="D29" i="3"/>
  <c r="D24" i="3"/>
  <c r="D16" i="3"/>
  <c r="D49" i="2"/>
  <c r="E17" i="2"/>
  <c r="G17" i="2" s="1"/>
  <c r="H17" i="2"/>
  <c r="I17" i="2"/>
  <c r="L17" i="2"/>
  <c r="M17" i="2"/>
  <c r="L79" i="3"/>
  <c r="P32" i="5"/>
  <c r="Q31" i="5"/>
  <c r="P31" i="5"/>
  <c r="D15" i="5"/>
  <c r="D41" i="15"/>
  <c r="D40" i="15"/>
  <c r="D35" i="15"/>
  <c r="D34" i="15"/>
  <c r="D33" i="15"/>
  <c r="D23" i="15" l="1"/>
  <c r="D11" i="15"/>
  <c r="P22" i="2"/>
  <c r="P28" i="2"/>
  <c r="D39" i="2"/>
  <c r="P39" i="2" s="1"/>
  <c r="D16" i="5"/>
  <c r="D17" i="5"/>
  <c r="Q20" i="5"/>
  <c r="Q19" i="5"/>
  <c r="Q17" i="5"/>
  <c r="Q16" i="5"/>
  <c r="Q15" i="5"/>
  <c r="Q14" i="5"/>
  <c r="P20" i="5"/>
  <c r="P19" i="5"/>
  <c r="P15" i="5"/>
  <c r="P14" i="5"/>
  <c r="Q33" i="5"/>
  <c r="Q30" i="5"/>
  <c r="Q29" i="5"/>
  <c r="Q28" i="5"/>
  <c r="Q27" i="5"/>
  <c r="Q24" i="5"/>
  <c r="Q23" i="5"/>
  <c r="Q13" i="5"/>
  <c r="Q12" i="5"/>
  <c r="Q9" i="5"/>
  <c r="P33" i="5"/>
  <c r="P30" i="5"/>
  <c r="P29" i="5"/>
  <c r="P28" i="5"/>
  <c r="P27" i="5"/>
  <c r="P24" i="5"/>
  <c r="P23" i="5"/>
  <c r="P13" i="5"/>
  <c r="P12" i="5"/>
  <c r="P9" i="5"/>
  <c r="P117" i="3"/>
  <c r="P116" i="3"/>
  <c r="P115" i="3"/>
  <c r="P114" i="3"/>
  <c r="P113" i="3"/>
  <c r="P112" i="3"/>
  <c r="P110" i="3"/>
  <c r="P109" i="3"/>
  <c r="P108" i="3"/>
  <c r="P107" i="3"/>
  <c r="P106" i="3"/>
  <c r="P105" i="3"/>
  <c r="Q117" i="3"/>
  <c r="Q116" i="3"/>
  <c r="Q115" i="3"/>
  <c r="F49" i="15" s="1"/>
  <c r="Q114" i="3"/>
  <c r="F48" i="15" s="1"/>
  <c r="Q113" i="3"/>
  <c r="Q112" i="3"/>
  <c r="Q110" i="3"/>
  <c r="Q109" i="3"/>
  <c r="Q108" i="3"/>
  <c r="Q107" i="3"/>
  <c r="Q106" i="3"/>
  <c r="Q105" i="3"/>
  <c r="Q103" i="3"/>
  <c r="Q102" i="3"/>
  <c r="Q101" i="3"/>
  <c r="P103" i="3"/>
  <c r="P102" i="3"/>
  <c r="P101" i="3"/>
  <c r="M85" i="3"/>
  <c r="L85" i="3"/>
  <c r="I85" i="3"/>
  <c r="H85" i="3"/>
  <c r="E85" i="3"/>
  <c r="P92" i="3"/>
  <c r="P91" i="3"/>
  <c r="P90" i="3"/>
  <c r="P89" i="3"/>
  <c r="P88" i="3"/>
  <c r="P87" i="3"/>
  <c r="P86" i="3"/>
  <c r="Q92" i="3"/>
  <c r="Q91" i="3"/>
  <c r="Q90" i="3"/>
  <c r="Q89" i="3"/>
  <c r="Q88" i="3"/>
  <c r="Q87" i="3"/>
  <c r="Q86" i="3"/>
  <c r="Q84" i="3"/>
  <c r="Q83" i="3"/>
  <c r="Q82" i="3"/>
  <c r="Q81" i="3"/>
  <c r="P84" i="3"/>
  <c r="P83" i="3"/>
  <c r="P82" i="3"/>
  <c r="P81" i="3"/>
  <c r="Q79" i="3"/>
  <c r="Q78" i="3"/>
  <c r="Q77" i="3"/>
  <c r="Q76" i="3"/>
  <c r="Q75" i="3"/>
  <c r="P79" i="3"/>
  <c r="P78" i="3"/>
  <c r="P77" i="3"/>
  <c r="P76" i="3"/>
  <c r="P75" i="3"/>
  <c r="Q73" i="3"/>
  <c r="Q72" i="3"/>
  <c r="Q71" i="3"/>
  <c r="Q70" i="3"/>
  <c r="Q69" i="3"/>
  <c r="Q68" i="3"/>
  <c r="Q67" i="3"/>
  <c r="Q66" i="3"/>
  <c r="Q65" i="3"/>
  <c r="Q64" i="3"/>
  <c r="P73" i="3"/>
  <c r="P72" i="3"/>
  <c r="P71" i="3"/>
  <c r="P70" i="3"/>
  <c r="P69" i="3"/>
  <c r="P68" i="3"/>
  <c r="P67" i="3"/>
  <c r="P66" i="3"/>
  <c r="P65" i="3"/>
  <c r="P64" i="3"/>
  <c r="Q62" i="3"/>
  <c r="Q61" i="3"/>
  <c r="Q60" i="3"/>
  <c r="P62" i="3"/>
  <c r="P61" i="3"/>
  <c r="P60" i="3"/>
  <c r="Q58" i="3"/>
  <c r="Q57" i="3"/>
  <c r="P58" i="3"/>
  <c r="P57" i="3"/>
  <c r="Q54" i="3"/>
  <c r="Q53" i="3"/>
  <c r="Q52" i="3"/>
  <c r="Q51" i="3"/>
  <c r="Q50" i="3"/>
  <c r="P54" i="3"/>
  <c r="P53" i="3"/>
  <c r="P52" i="3"/>
  <c r="P51" i="3"/>
  <c r="P50" i="3"/>
  <c r="Q48" i="3"/>
  <c r="Q47" i="3"/>
  <c r="P48" i="3"/>
  <c r="P47" i="3"/>
  <c r="Q45" i="3"/>
  <c r="Q44" i="3"/>
  <c r="Q43" i="3"/>
  <c r="Q42" i="3"/>
  <c r="Q41" i="3"/>
  <c r="Q40" i="3"/>
  <c r="Q39" i="3"/>
  <c r="Q38" i="3"/>
  <c r="Q37" i="3"/>
  <c r="P45" i="3"/>
  <c r="P44" i="3"/>
  <c r="P43" i="3"/>
  <c r="P42" i="3"/>
  <c r="P41" i="3"/>
  <c r="P40" i="3"/>
  <c r="P39" i="3"/>
  <c r="P38" i="3"/>
  <c r="P37" i="3"/>
  <c r="Q35" i="3"/>
  <c r="Q34" i="3"/>
  <c r="P35" i="3"/>
  <c r="P34" i="3"/>
  <c r="Q32" i="3"/>
  <c r="Q31" i="3"/>
  <c r="Q30" i="3"/>
  <c r="P32" i="3"/>
  <c r="P31" i="3"/>
  <c r="P30" i="3"/>
  <c r="Q29" i="3"/>
  <c r="P29" i="3"/>
  <c r="Q26" i="3"/>
  <c r="Q25" i="3"/>
  <c r="Q24" i="3"/>
  <c r="P26" i="3"/>
  <c r="P25" i="3"/>
  <c r="P24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M93" i="3"/>
  <c r="L93" i="3"/>
  <c r="I93" i="3"/>
  <c r="H93" i="3"/>
  <c r="E93" i="3"/>
  <c r="M80" i="3"/>
  <c r="L80" i="3"/>
  <c r="I80" i="3"/>
  <c r="H80" i="3"/>
  <c r="E80" i="3"/>
  <c r="M63" i="3"/>
  <c r="M74" i="3" s="1"/>
  <c r="L63" i="3"/>
  <c r="L74" i="3" s="1"/>
  <c r="I63" i="3"/>
  <c r="I74" i="3" s="1"/>
  <c r="H63" i="3"/>
  <c r="H74" i="3" s="1"/>
  <c r="E63" i="3"/>
  <c r="E74" i="3" s="1"/>
  <c r="M59" i="3"/>
  <c r="L59" i="3"/>
  <c r="I59" i="3"/>
  <c r="H59" i="3"/>
  <c r="E59" i="3"/>
  <c r="M55" i="3"/>
  <c r="L55" i="3"/>
  <c r="I55" i="3"/>
  <c r="K55" i="3" s="1"/>
  <c r="H55" i="3"/>
  <c r="E55" i="3"/>
  <c r="G55" i="3" s="1"/>
  <c r="M49" i="3"/>
  <c r="L49" i="3"/>
  <c r="I49" i="3"/>
  <c r="K49" i="3" s="1"/>
  <c r="H49" i="3"/>
  <c r="E49" i="3"/>
  <c r="G49" i="3" s="1"/>
  <c r="M46" i="3"/>
  <c r="L46" i="3"/>
  <c r="I46" i="3"/>
  <c r="K46" i="3" s="1"/>
  <c r="H46" i="3"/>
  <c r="E46" i="3"/>
  <c r="G46" i="3" s="1"/>
  <c r="M36" i="3"/>
  <c r="L36" i="3"/>
  <c r="I36" i="3"/>
  <c r="K36" i="3" s="1"/>
  <c r="H36" i="3"/>
  <c r="E36" i="3"/>
  <c r="G36" i="3" s="1"/>
  <c r="M33" i="3"/>
  <c r="L33" i="3"/>
  <c r="I33" i="3"/>
  <c r="K33" i="3" s="1"/>
  <c r="H33" i="3"/>
  <c r="E33" i="3"/>
  <c r="G33" i="3" s="1"/>
  <c r="M27" i="3"/>
  <c r="L27" i="3"/>
  <c r="I27" i="3"/>
  <c r="K27" i="3" s="1"/>
  <c r="H27" i="3"/>
  <c r="E27" i="3"/>
  <c r="G27" i="3" s="1"/>
  <c r="M23" i="3"/>
  <c r="L23" i="3"/>
  <c r="I23" i="3"/>
  <c r="K23" i="3" s="1"/>
  <c r="H23" i="3"/>
  <c r="E23" i="3"/>
  <c r="G23" i="3" s="1"/>
  <c r="G50" i="15"/>
  <c r="G43" i="15"/>
  <c r="G38" i="15"/>
  <c r="Q89" i="2"/>
  <c r="Q88" i="2"/>
  <c r="F26" i="15" s="1"/>
  <c r="Q87" i="2"/>
  <c r="F25" i="15" s="1"/>
  <c r="Q86" i="2"/>
  <c r="Q85" i="2"/>
  <c r="Q83" i="2"/>
  <c r="Q82" i="2"/>
  <c r="Q80" i="2"/>
  <c r="Q79" i="2"/>
  <c r="Q78" i="2"/>
  <c r="Q77" i="2"/>
  <c r="P89" i="2"/>
  <c r="P88" i="2"/>
  <c r="P87" i="2"/>
  <c r="P86" i="2"/>
  <c r="P85" i="2"/>
  <c r="P83" i="2"/>
  <c r="P82" i="2"/>
  <c r="P80" i="2"/>
  <c r="P79" i="2"/>
  <c r="P78" i="2"/>
  <c r="P77" i="2"/>
  <c r="M90" i="2"/>
  <c r="L90" i="2"/>
  <c r="I90" i="2"/>
  <c r="H90" i="2"/>
  <c r="E90" i="2"/>
  <c r="G90" i="2" s="1"/>
  <c r="M84" i="2"/>
  <c r="L84" i="2"/>
  <c r="I84" i="2"/>
  <c r="H84" i="2"/>
  <c r="E84" i="2"/>
  <c r="G84" i="2" s="1"/>
  <c r="M81" i="2"/>
  <c r="L81" i="2"/>
  <c r="I81" i="2"/>
  <c r="H81" i="2"/>
  <c r="E81" i="2"/>
  <c r="G81" i="2" s="1"/>
  <c r="M76" i="2"/>
  <c r="L76" i="2"/>
  <c r="I76" i="2"/>
  <c r="H76" i="2"/>
  <c r="E76" i="2"/>
  <c r="Q75" i="2"/>
  <c r="Q74" i="2"/>
  <c r="Q73" i="2"/>
  <c r="Q76" i="2" s="1"/>
  <c r="F21" i="15" s="1"/>
  <c r="P75" i="2"/>
  <c r="P74" i="2"/>
  <c r="P73" i="2"/>
  <c r="Q64" i="2"/>
  <c r="Q63" i="2"/>
  <c r="Q62" i="2"/>
  <c r="Q61" i="2"/>
  <c r="Q60" i="2"/>
  <c r="P64" i="2"/>
  <c r="P63" i="2"/>
  <c r="P62" i="2"/>
  <c r="P61" i="2"/>
  <c r="P60" i="2"/>
  <c r="Q58" i="2"/>
  <c r="Q57" i="2"/>
  <c r="Q56" i="2"/>
  <c r="Q55" i="2"/>
  <c r="Q54" i="2"/>
  <c r="P58" i="2"/>
  <c r="P57" i="2"/>
  <c r="P56" i="2"/>
  <c r="P55" i="2"/>
  <c r="P54" i="2"/>
  <c r="Q52" i="2"/>
  <c r="Q51" i="2"/>
  <c r="Q50" i="2"/>
  <c r="Q49" i="2"/>
  <c r="Q48" i="2"/>
  <c r="P52" i="2"/>
  <c r="P51" i="2"/>
  <c r="P50" i="2"/>
  <c r="P49" i="2"/>
  <c r="P48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P46" i="2"/>
  <c r="P45" i="2"/>
  <c r="P43" i="2"/>
  <c r="P42" i="2"/>
  <c r="P41" i="2"/>
  <c r="P40" i="2"/>
  <c r="P38" i="2"/>
  <c r="P37" i="2"/>
  <c r="P36" i="2"/>
  <c r="P35" i="2"/>
  <c r="P34" i="2"/>
  <c r="Q32" i="2"/>
  <c r="Q31" i="2"/>
  <c r="Q30" i="2"/>
  <c r="P32" i="2"/>
  <c r="P31" i="2"/>
  <c r="P30" i="2"/>
  <c r="Q28" i="2"/>
  <c r="Q27" i="2"/>
  <c r="Q26" i="2"/>
  <c r="Q25" i="2"/>
  <c r="Q24" i="2"/>
  <c r="P27" i="2"/>
  <c r="P26" i="2"/>
  <c r="P25" i="2"/>
  <c r="P24" i="2"/>
  <c r="Q22" i="2"/>
  <c r="Q21" i="2"/>
  <c r="Q20" i="2"/>
  <c r="Q19" i="2"/>
  <c r="Q18" i="2"/>
  <c r="P21" i="2"/>
  <c r="P20" i="2"/>
  <c r="P19" i="2"/>
  <c r="P18" i="2"/>
  <c r="Q16" i="2"/>
  <c r="Q15" i="2"/>
  <c r="Q14" i="2"/>
  <c r="Q13" i="2"/>
  <c r="Q12" i="2"/>
  <c r="Q11" i="2"/>
  <c r="P16" i="2"/>
  <c r="P15" i="2"/>
  <c r="P14" i="2"/>
  <c r="P13" i="2"/>
  <c r="P12" i="2"/>
  <c r="P11" i="2"/>
  <c r="Q10" i="2"/>
  <c r="P10" i="2"/>
  <c r="D44" i="2"/>
  <c r="P44" i="2" s="1"/>
  <c r="G58" i="15" l="1"/>
  <c r="G44" i="15"/>
  <c r="G61" i="15"/>
  <c r="K80" i="3"/>
  <c r="G80" i="3"/>
  <c r="G74" i="3"/>
  <c r="Q36" i="3"/>
  <c r="G85" i="3"/>
  <c r="G93" i="3"/>
  <c r="K84" i="2"/>
  <c r="G59" i="3"/>
  <c r="F47" i="15"/>
  <c r="H47" i="15" s="1"/>
  <c r="F34" i="15"/>
  <c r="H34" i="15" s="1"/>
  <c r="P84" i="2"/>
  <c r="E23" i="15" s="1"/>
  <c r="P76" i="2"/>
  <c r="E21" i="15" s="1"/>
  <c r="Q84" i="2"/>
  <c r="F23" i="15" s="1"/>
  <c r="H23" i="15" s="1"/>
  <c r="F24" i="15"/>
  <c r="H24" i="15" s="1"/>
  <c r="M91" i="2"/>
  <c r="Q85" i="3"/>
  <c r="F41" i="15" s="1"/>
  <c r="H41" i="15" s="1"/>
  <c r="E56" i="3"/>
  <c r="E28" i="3"/>
  <c r="P17" i="5"/>
  <c r="P16" i="5"/>
  <c r="I56" i="3"/>
  <c r="I28" i="3"/>
  <c r="Q80" i="3"/>
  <c r="F40" i="15" s="1"/>
  <c r="H40" i="15" s="1"/>
  <c r="Q63" i="3"/>
  <c r="Q74" i="3" s="1"/>
  <c r="F37" i="15" s="1"/>
  <c r="H37" i="15" s="1"/>
  <c r="Q59" i="3"/>
  <c r="Q49" i="3"/>
  <c r="M56" i="3"/>
  <c r="Q27" i="3"/>
  <c r="M28" i="3"/>
  <c r="I91" i="2"/>
  <c r="K91" i="2" s="1"/>
  <c r="Q90" i="2"/>
  <c r="E91" i="2"/>
  <c r="G91" i="2" s="1"/>
  <c r="P49" i="3"/>
  <c r="P93" i="3"/>
  <c r="E42" i="15" s="1"/>
  <c r="Q23" i="3"/>
  <c r="P17" i="2"/>
  <c r="Q93" i="3"/>
  <c r="F42" i="15" s="1"/>
  <c r="H42" i="15" s="1"/>
  <c r="Q46" i="3"/>
  <c r="Q17" i="2"/>
  <c r="F8" i="15" s="1"/>
  <c r="H8" i="15" s="1"/>
  <c r="H91" i="2"/>
  <c r="L91" i="2"/>
  <c r="P63" i="3"/>
  <c r="P74" i="3" s="1"/>
  <c r="E37" i="15" s="1"/>
  <c r="H28" i="3"/>
  <c r="P81" i="2"/>
  <c r="Q55" i="3"/>
  <c r="Q81" i="2"/>
  <c r="F22" i="15" s="1"/>
  <c r="H22" i="15" s="1"/>
  <c r="Q33" i="3"/>
  <c r="P85" i="3"/>
  <c r="E41" i="15" s="1"/>
  <c r="L28" i="3"/>
  <c r="P27" i="3"/>
  <c r="P33" i="3"/>
  <c r="P90" i="2"/>
  <c r="P80" i="3"/>
  <c r="E40" i="15" s="1"/>
  <c r="P23" i="3"/>
  <c r="H56" i="3"/>
  <c r="P36" i="3"/>
  <c r="P59" i="3"/>
  <c r="P55" i="3"/>
  <c r="P46" i="3"/>
  <c r="L56" i="3"/>
  <c r="E49" i="15"/>
  <c r="E48" i="15"/>
  <c r="E47" i="15"/>
  <c r="E34" i="15"/>
  <c r="E24" i="15"/>
  <c r="E26" i="15"/>
  <c r="E25" i="15"/>
  <c r="E22" i="15"/>
  <c r="G27" i="15"/>
  <c r="G60" i="15"/>
  <c r="G13" i="15"/>
  <c r="D27" i="15"/>
  <c r="D50" i="15"/>
  <c r="D43" i="15"/>
  <c r="D61" i="15" s="1"/>
  <c r="D38" i="15"/>
  <c r="D58" i="15" s="1"/>
  <c r="Q111" i="3"/>
  <c r="F46" i="15" s="1"/>
  <c r="H46" i="15" s="1"/>
  <c r="P111" i="3"/>
  <c r="E46" i="15" s="1"/>
  <c r="M111" i="3"/>
  <c r="L111" i="3"/>
  <c r="I111" i="3"/>
  <c r="H111" i="3"/>
  <c r="E111" i="3"/>
  <c r="D111" i="3"/>
  <c r="Q104" i="3"/>
  <c r="P104" i="3"/>
  <c r="M104" i="3"/>
  <c r="L104" i="3"/>
  <c r="I104" i="3"/>
  <c r="H104" i="3"/>
  <c r="E104" i="3"/>
  <c r="D104" i="3"/>
  <c r="F27" i="15" l="1"/>
  <c r="G51" i="15"/>
  <c r="G19" i="15"/>
  <c r="G28" i="15" s="1"/>
  <c r="H27" i="15"/>
  <c r="G62" i="15"/>
  <c r="G57" i="15"/>
  <c r="G59" i="15" s="1"/>
  <c r="F50" i="15"/>
  <c r="H50" i="15" s="1"/>
  <c r="K28" i="3"/>
  <c r="K56" i="3"/>
  <c r="G111" i="3"/>
  <c r="G28" i="3"/>
  <c r="G56" i="3"/>
  <c r="M118" i="3"/>
  <c r="L118" i="3"/>
  <c r="M94" i="3"/>
  <c r="I118" i="3"/>
  <c r="P91" i="2"/>
  <c r="F43" i="15"/>
  <c r="E94" i="3"/>
  <c r="G94" i="3" s="1"/>
  <c r="I94" i="3"/>
  <c r="K94" i="3" s="1"/>
  <c r="Q28" i="3"/>
  <c r="Q56" i="3"/>
  <c r="Q91" i="2"/>
  <c r="E36" i="15"/>
  <c r="H94" i="3"/>
  <c r="E118" i="3"/>
  <c r="G118" i="3" s="1"/>
  <c r="D118" i="3"/>
  <c r="H118" i="3"/>
  <c r="P28" i="3"/>
  <c r="L94" i="3"/>
  <c r="P56" i="3"/>
  <c r="P118" i="3"/>
  <c r="Q118" i="3"/>
  <c r="D44" i="15"/>
  <c r="E43" i="15"/>
  <c r="E61" i="15" s="1"/>
  <c r="E50" i="15"/>
  <c r="E27" i="15"/>
  <c r="D18" i="15"/>
  <c r="D60" i="15" s="1"/>
  <c r="D13" i="15"/>
  <c r="D57" i="15" s="1"/>
  <c r="D90" i="2"/>
  <c r="D84" i="2"/>
  <c r="D81" i="2"/>
  <c r="D76" i="2"/>
  <c r="G64" i="15" l="1"/>
  <c r="F61" i="15"/>
  <c r="H43" i="15"/>
  <c r="G53" i="15"/>
  <c r="M120" i="3"/>
  <c r="M128" i="3" s="1"/>
  <c r="L120" i="3"/>
  <c r="M123" i="3" s="1"/>
  <c r="H120" i="3"/>
  <c r="L123" i="3" s="1"/>
  <c r="I120" i="3"/>
  <c r="F33" i="15"/>
  <c r="H33" i="15" s="1"/>
  <c r="Q94" i="3"/>
  <c r="Q120" i="3" s="1"/>
  <c r="F35" i="15"/>
  <c r="H35" i="15" s="1"/>
  <c r="E120" i="3"/>
  <c r="G120" i="3" s="1"/>
  <c r="E35" i="15"/>
  <c r="E33" i="15"/>
  <c r="P94" i="3"/>
  <c r="P120" i="3" s="1"/>
  <c r="D51" i="15"/>
  <c r="D19" i="15"/>
  <c r="D28" i="15" s="1"/>
  <c r="D91" i="2"/>
  <c r="D53" i="15" l="1"/>
  <c r="F38" i="15"/>
  <c r="H38" i="15" s="1"/>
  <c r="P123" i="3"/>
  <c r="L128" i="3"/>
  <c r="P128" i="3" s="1"/>
  <c r="K120" i="3"/>
  <c r="F58" i="15"/>
  <c r="F44" i="15"/>
  <c r="E38" i="15"/>
  <c r="E58" i="15" s="1"/>
  <c r="E44" i="15"/>
  <c r="Q34" i="5"/>
  <c r="P34" i="5"/>
  <c r="M34" i="5"/>
  <c r="O34" i="5" s="1"/>
  <c r="L34" i="5"/>
  <c r="I34" i="5"/>
  <c r="K34" i="5" s="1"/>
  <c r="H34" i="5"/>
  <c r="E34" i="5"/>
  <c r="G34" i="5" s="1"/>
  <c r="Q25" i="5"/>
  <c r="P25" i="5"/>
  <c r="M25" i="5"/>
  <c r="O25" i="5" s="1"/>
  <c r="L25" i="5"/>
  <c r="I25" i="5"/>
  <c r="K25" i="5" s="1"/>
  <c r="H25" i="5"/>
  <c r="E25" i="5"/>
  <c r="Q21" i="5"/>
  <c r="P21" i="5"/>
  <c r="M21" i="5"/>
  <c r="L21" i="5"/>
  <c r="I21" i="5"/>
  <c r="H21" i="5"/>
  <c r="E21" i="5"/>
  <c r="G21" i="5" s="1"/>
  <c r="Q10" i="5"/>
  <c r="P10" i="5"/>
  <c r="M10" i="5"/>
  <c r="L10" i="5"/>
  <c r="I10" i="5"/>
  <c r="K10" i="5" s="1"/>
  <c r="H10" i="5"/>
  <c r="E10" i="5"/>
  <c r="D34" i="5"/>
  <c r="D25" i="5"/>
  <c r="D21" i="5"/>
  <c r="D10" i="5"/>
  <c r="D93" i="3"/>
  <c r="D85" i="3"/>
  <c r="D80" i="3"/>
  <c r="D63" i="3"/>
  <c r="D74" i="3" s="1"/>
  <c r="D59" i="3"/>
  <c r="D55" i="3"/>
  <c r="D49" i="3"/>
  <c r="D46" i="3"/>
  <c r="D36" i="3"/>
  <c r="D33" i="3"/>
  <c r="D27" i="3"/>
  <c r="D23" i="3"/>
  <c r="Q65" i="2"/>
  <c r="F17" i="15" s="1"/>
  <c r="H17" i="15" s="1"/>
  <c r="P65" i="2"/>
  <c r="E17" i="15" s="1"/>
  <c r="M65" i="2"/>
  <c r="L65" i="2"/>
  <c r="I65" i="2"/>
  <c r="H65" i="2"/>
  <c r="E65" i="2"/>
  <c r="Q59" i="2"/>
  <c r="F12" i="15" s="1"/>
  <c r="H12" i="15" s="1"/>
  <c r="P59" i="2"/>
  <c r="E12" i="15" s="1"/>
  <c r="M59" i="2"/>
  <c r="L59" i="2"/>
  <c r="I59" i="2"/>
  <c r="H59" i="2"/>
  <c r="E59" i="2"/>
  <c r="Q53" i="2"/>
  <c r="F16" i="15" s="1"/>
  <c r="H16" i="15" s="1"/>
  <c r="P53" i="2"/>
  <c r="E16" i="15" s="1"/>
  <c r="M53" i="2"/>
  <c r="L53" i="2"/>
  <c r="I53" i="2"/>
  <c r="H53" i="2"/>
  <c r="E53" i="2"/>
  <c r="Q47" i="2"/>
  <c r="P47" i="2"/>
  <c r="M47" i="2"/>
  <c r="L47" i="2"/>
  <c r="I47" i="2"/>
  <c r="H47" i="2"/>
  <c r="E47" i="2"/>
  <c r="Q33" i="2"/>
  <c r="F10" i="15" s="1"/>
  <c r="H10" i="15" s="1"/>
  <c r="P33" i="2"/>
  <c r="E10" i="15" s="1"/>
  <c r="M33" i="2"/>
  <c r="L33" i="2"/>
  <c r="I33" i="2"/>
  <c r="H33" i="2"/>
  <c r="E33" i="2"/>
  <c r="Q29" i="2"/>
  <c r="F15" i="15" s="1"/>
  <c r="H15" i="15" s="1"/>
  <c r="P29" i="2"/>
  <c r="M29" i="2"/>
  <c r="L29" i="2"/>
  <c r="I29" i="2"/>
  <c r="H29" i="2"/>
  <c r="E29" i="2"/>
  <c r="Q23" i="2"/>
  <c r="F9" i="15" s="1"/>
  <c r="H9" i="15" s="1"/>
  <c r="P23" i="2"/>
  <c r="M23" i="2"/>
  <c r="L23" i="2"/>
  <c r="I23" i="2"/>
  <c r="K23" i="2" s="1"/>
  <c r="H23" i="2"/>
  <c r="E23" i="2"/>
  <c r="E8" i="15"/>
  <c r="D65" i="2"/>
  <c r="D59" i="2"/>
  <c r="D53" i="2"/>
  <c r="D47" i="2"/>
  <c r="D33" i="2"/>
  <c r="D29" i="2"/>
  <c r="D23" i="2"/>
  <c r="D17" i="2"/>
  <c r="F51" i="15" l="1"/>
  <c r="H51" i="15" s="1"/>
  <c r="H44" i="15"/>
  <c r="K47" i="2"/>
  <c r="G47" i="2"/>
  <c r="G23" i="2"/>
  <c r="G59" i="2"/>
  <c r="G33" i="2"/>
  <c r="G53" i="2"/>
  <c r="G65" i="2"/>
  <c r="G29" i="2"/>
  <c r="F18" i="15"/>
  <c r="F11" i="15"/>
  <c r="E11" i="15"/>
  <c r="E51" i="15"/>
  <c r="D28" i="3"/>
  <c r="E15" i="15"/>
  <c r="E18" i="15" s="1"/>
  <c r="E9" i="15"/>
  <c r="E35" i="5"/>
  <c r="G35" i="5" s="1"/>
  <c r="L35" i="5"/>
  <c r="I35" i="5"/>
  <c r="K35" i="5" s="1"/>
  <c r="D56" i="3"/>
  <c r="D35" i="5"/>
  <c r="H35" i="5"/>
  <c r="M35" i="5"/>
  <c r="O35" i="5" s="1"/>
  <c r="Q35" i="5"/>
  <c r="P35" i="5"/>
  <c r="M66" i="2"/>
  <c r="M93" i="2" s="1"/>
  <c r="M129" i="3" s="1"/>
  <c r="E66" i="2"/>
  <c r="D66" i="2"/>
  <c r="D93" i="2" s="1"/>
  <c r="P66" i="2"/>
  <c r="P93" i="2" s="1"/>
  <c r="I66" i="2"/>
  <c r="Q66" i="2"/>
  <c r="Q93" i="2" s="1"/>
  <c r="H66" i="2"/>
  <c r="H93" i="2" s="1"/>
  <c r="L66" i="2"/>
  <c r="L93" i="2" s="1"/>
  <c r="M124" i="3" s="1"/>
  <c r="M125" i="3" s="1"/>
  <c r="F60" i="15" l="1"/>
  <c r="F62" i="15" s="1"/>
  <c r="H18" i="15"/>
  <c r="F13" i="15"/>
  <c r="H13" i="15" s="1"/>
  <c r="H11" i="15"/>
  <c r="I93" i="2"/>
  <c r="K93" i="2" s="1"/>
  <c r="K66" i="2"/>
  <c r="E93" i="2"/>
  <c r="G93" i="2" s="1"/>
  <c r="G66" i="2"/>
  <c r="M130" i="3"/>
  <c r="I96" i="2"/>
  <c r="L129" i="3"/>
  <c r="L130" i="3" s="1"/>
  <c r="F57" i="15"/>
  <c r="F59" i="15" s="1"/>
  <c r="F64" i="15" s="1"/>
  <c r="F19" i="15"/>
  <c r="L124" i="3"/>
  <c r="H96" i="2"/>
  <c r="D94" i="3"/>
  <c r="D120" i="3" s="1"/>
  <c r="E13" i="15"/>
  <c r="E19" i="15" s="1"/>
  <c r="E28" i="15" s="1"/>
  <c r="E53" i="15" s="1"/>
  <c r="D59" i="15"/>
  <c r="D62" i="15"/>
  <c r="E60" i="15"/>
  <c r="E62" i="15" s="1"/>
  <c r="F28" i="15" l="1"/>
  <c r="H19" i="15"/>
  <c r="P129" i="3"/>
  <c r="P130" i="3" s="1"/>
  <c r="E57" i="15"/>
  <c r="P124" i="3"/>
  <c r="P125" i="3" s="1"/>
  <c r="L125" i="3"/>
  <c r="E59" i="15"/>
  <c r="E64" i="15" s="1"/>
  <c r="D64" i="15"/>
  <c r="F53" i="15" l="1"/>
  <c r="H2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Krisztina Ferencz</author>
  </authors>
  <commentList>
    <comment ref="D15" authorId="0" shapeId="0" xr:uid="{E72DC0F1-F2A7-4A76-BA36-9A36D54DC85E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Szociális tűzifa támogatás</t>
        </r>
      </text>
    </comment>
    <comment ref="D22" authorId="0" shapeId="0" xr:uid="{5F002992-6C82-428C-AC67-434FA9962FF9}">
      <text>
        <r>
          <rPr>
            <b/>
            <sz val="9"/>
            <color indexed="81"/>
            <rFont val="Tahoma"/>
            <family val="2"/>
            <charset val="238"/>
          </rPr>
          <t xml:space="preserve">Krisztina Ferencz:
</t>
        </r>
        <r>
          <rPr>
            <sz val="9"/>
            <color indexed="81"/>
            <rFont val="Tahoma"/>
            <family val="2"/>
            <charset val="238"/>
          </rPr>
          <t xml:space="preserve">NEAK
Felelős állattartás
VJP2
Otthontámogatás
</t>
        </r>
      </text>
    </comment>
    <comment ref="D28" authorId="0" shapeId="0" xr:uid="{5CBF2260-15E7-4D52-B8DD-5386273050CC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Kerékpárút
Csapadékvíz
Közvilágítás
Látogatóközpont</t>
        </r>
      </text>
    </comment>
    <comment ref="D57" authorId="0" shapeId="0" xr:uid="{B3FC984E-B372-4BCC-BEFD-97196ABE89D3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Dunamente és Térsége Egyesület</t>
        </r>
      </text>
    </comment>
    <comment ref="E57" authorId="0" shapeId="0" xr:uid="{5F1D8757-122C-4EFF-900C-DD14C35724CC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Dunamente és Térsége Egyesület</t>
        </r>
      </text>
    </comment>
    <comment ref="D64" authorId="0" shapeId="0" xr:uid="{6BA15EC8-1BF1-4481-969E-026C5C6D37DC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Interreg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Krisztina Ferencz</author>
  </authors>
  <commentList>
    <comment ref="H54" authorId="0" shapeId="0" xr:uid="{7146E52F-084C-4FAF-A06B-AAB57C19FA73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tb-cst kerekítési különbözet</t>
        </r>
      </text>
    </comment>
    <comment ref="D67" authorId="0" shapeId="0" xr:uid="{AC0FF28B-8B60-4FE2-9786-9EC93A6E836D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DTKT
Fogászati ügyelet
Családsegítő szolg.
Bursa 
Miksic</t>
        </r>
      </text>
    </comment>
    <comment ref="E67" authorId="0" shapeId="0" xr:uid="{22EA7536-006D-4AD5-BB47-B6047E77FC1A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DTKT
Fogászati ügyelet
Családsegítő szolg.
Bursa 
Köztemetés</t>
        </r>
      </text>
    </comment>
    <comment ref="E89" authorId="0" shapeId="0" xr:uid="{0B411E52-058D-47EC-AE89-71B8476C5593}">
      <text>
        <r>
          <rPr>
            <b/>
            <sz val="9"/>
            <color indexed="81"/>
            <rFont val="Tahoma"/>
            <family val="2"/>
            <charset val="238"/>
          </rPr>
          <t>Krisztina Ferencz:</t>
        </r>
        <r>
          <rPr>
            <sz val="9"/>
            <color indexed="81"/>
            <rFont val="Tahoma"/>
            <family val="2"/>
            <charset val="238"/>
          </rPr>
          <t xml:space="preserve">
MÁK visszafizetés</t>
        </r>
      </text>
    </comment>
  </commentList>
</comments>
</file>

<file path=xl/sharedStrings.xml><?xml version="1.0" encoding="utf-8"?>
<sst xmlns="http://schemas.openxmlformats.org/spreadsheetml/2006/main" count="1006" uniqueCount="595">
  <si>
    <t>Sorszám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</si>
  <si>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</si>
  <si>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</si>
  <si>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</si>
  <si>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</si>
  <si>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</si>
  <si>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</si>
  <si>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</si>
  <si>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</si>
  <si>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</si>
  <si>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Megnevezés</t>
  </si>
  <si>
    <t>Eredeti</t>
  </si>
  <si>
    <t>Módosított</t>
  </si>
  <si>
    <t>Előirányzat</t>
  </si>
  <si>
    <t>Tokodi Mesevár Óvoda- Bölcsőde és Mini-bölcsőde</t>
  </si>
  <si>
    <t>Tokodi Polgármesteri Hivatal</t>
  </si>
  <si>
    <t>Tokod Nagyközség Önkormányzata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</si>
  <si>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</si>
  <si>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</si>
  <si>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</si>
  <si>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</si>
  <si>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</si>
  <si>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</si>
  <si>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</si>
  <si>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</si>
  <si>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</si>
  <si>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</si>
  <si>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</si>
  <si>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</si>
  <si>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</si>
  <si>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</si>
  <si>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</si>
  <si>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</si>
  <si>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</si>
  <si>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</si>
  <si>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</si>
  <si>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</si>
  <si>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</si>
  <si>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</si>
  <si>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</si>
  <si>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</si>
  <si>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</si>
  <si>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</si>
  <si>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Az Önkormányzat és intézményei összesen</t>
  </si>
  <si>
    <t>Működési bevételek</t>
  </si>
  <si>
    <t>Önkormányzat működési támogatásai</t>
  </si>
  <si>
    <t>Működési célú átvett pénzeszközök</t>
  </si>
  <si>
    <t>Közhatalmi bevételek</t>
  </si>
  <si>
    <t>Befektetési célú belföldi értékpapírok beváltása, értékesítése</t>
  </si>
  <si>
    <t>Személyi juttatások</t>
  </si>
  <si>
    <t>Munkaadókat terhelő járulékok és szociális hozzájárulási adó</t>
  </si>
  <si>
    <t>Ellátottak pénzbeli juttatásai</t>
  </si>
  <si>
    <t>FINANSZÍROZÁSI KIADÁSOK</t>
  </si>
  <si>
    <t>FINANSZÍROZÁSI BEVÉTELEK</t>
  </si>
  <si>
    <t>Rovat száma</t>
  </si>
  <si>
    <t>J.</t>
  </si>
  <si>
    <t>27.</t>
  </si>
  <si>
    <t>28.</t>
  </si>
  <si>
    <t>29.</t>
  </si>
  <si>
    <t>30.</t>
  </si>
  <si>
    <t>31.</t>
  </si>
  <si>
    <t>32.</t>
  </si>
  <si>
    <t>33.</t>
  </si>
  <si>
    <t>35.</t>
  </si>
  <si>
    <t>36.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</si>
  <si>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</si>
  <si>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</si>
  <si>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</si>
  <si>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</si>
  <si>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</si>
  <si>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</si>
  <si>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</si>
  <si>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</si>
  <si>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</si>
  <si>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</si>
  <si>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</si>
  <si>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</si>
  <si>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</si>
  <si>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</si>
  <si>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</si>
  <si>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</si>
  <si>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</si>
  <si>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</si>
  <si>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</si>
  <si>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</si>
  <si>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</si>
  <si>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</si>
  <si>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Helyi önkormányzatok működésének általános támogatása</t>
  </si>
  <si>
    <t>Települési önkormányzatok egyes köznevelési feladatainak támogatása</t>
  </si>
  <si>
    <t>Települési önkormányzatok szociális gyermekjóléti és gyermekétkeztetési feladatainak támogatása</t>
  </si>
  <si>
    <t>Települési önkormányzatok kulturális feladatainak támogatása</t>
  </si>
  <si>
    <t>Működési célú költségvetési támogatások és kiegészítő támogatások</t>
  </si>
  <si>
    <t>Elszámolásból származó bevételek</t>
  </si>
  <si>
    <t>Elvonások és befizetések bevételei</t>
  </si>
  <si>
    <t>Működési célú garancia- és kezességvállalásból származó megtérülések államháztartáson belülről</t>
  </si>
  <si>
    <t>Működési célú visszatérítendő támogatások, kölcsönök visszatérülése államháztartáson belülről</t>
  </si>
  <si>
    <t>Egyéb működési célú támogatások bevételei államháztartáson belülről</t>
  </si>
  <si>
    <t>Felhalmozási célú önkormányzati támogatások</t>
  </si>
  <si>
    <t>Felhalmozási célú garancia- és kezességvállalásból származó megtérülések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</si>
  <si>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</si>
  <si>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</si>
  <si>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</si>
  <si>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Vagyoni tipusú adók</t>
  </si>
  <si>
    <t>Értékesítési és forgalmi adók</t>
  </si>
  <si>
    <t>Egyéb közhatalmi bevételek</t>
  </si>
  <si>
    <t>Készletértékesítés ellenértéke</t>
  </si>
  <si>
    <t>Szolgáltatások ellenértéke</t>
  </si>
  <si>
    <t>Közvetített szolgáltatások ellenértéke</t>
  </si>
  <si>
    <t>Tulajdonosi bevételek</t>
  </si>
  <si>
    <t>Ellátási díjak</t>
  </si>
  <si>
    <t>Kiszámlázott általános forgalmi adó</t>
  </si>
  <si>
    <t>Általános forgalmi adó visszatérítése</t>
  </si>
  <si>
    <t>Befektetett pénzügyi eszközökből származó bevételek</t>
  </si>
  <si>
    <t>Egyéb kapott (járó) kamatok és kamatjellegű bevételek</t>
  </si>
  <si>
    <t>Részesedésekből származó pénzügyi műveletek bevételei</t>
  </si>
  <si>
    <t>Más egyéb pénzügyi műveletek bevételei</t>
  </si>
  <si>
    <t>Biztosító által fizetett kártérítés</t>
  </si>
  <si>
    <t>Egyéb működési bevételek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</si>
  <si>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</si>
  <si>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</si>
  <si>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</si>
  <si>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</si>
  <si>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</si>
  <si>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garancia- és kezességvállalásból származó megtérülések államháztartáson kívülről</t>
  </si>
  <si>
    <t>Működési célú visszatérítendő támogatások, kölcsönök visszatérülése az Európai Uniótól</t>
  </si>
  <si>
    <t>Egyéb működési célú átvett pénzeszközök</t>
  </si>
  <si>
    <t>B111</t>
  </si>
  <si>
    <t>B112</t>
  </si>
  <si>
    <t>B114</t>
  </si>
  <si>
    <t>B115</t>
  </si>
  <si>
    <t>B116</t>
  </si>
  <si>
    <t>B1131</t>
  </si>
  <si>
    <t>B1132</t>
  </si>
  <si>
    <t>Települési önkormányzatok gyermekétkeztetési feladatainak támogatása</t>
  </si>
  <si>
    <t>Önkormányzatok működési támogatásai (=01+…+07)</t>
  </si>
  <si>
    <t>B12</t>
  </si>
  <si>
    <t>B13</t>
  </si>
  <si>
    <t>B14</t>
  </si>
  <si>
    <t>B15</t>
  </si>
  <si>
    <t>B16</t>
  </si>
  <si>
    <t>B21</t>
  </si>
  <si>
    <t>B22</t>
  </si>
  <si>
    <t>B23</t>
  </si>
  <si>
    <t>B24</t>
  </si>
  <si>
    <t>B25</t>
  </si>
  <si>
    <t>Felhalmozási célú támogatások államháztartáson belülről (=15+…+19)</t>
  </si>
  <si>
    <t>Működési célú támogatások államháztartáson belülről (=09+…+13)</t>
  </si>
  <si>
    <t>Közhatalmi bevételek (=21+...+23)</t>
  </si>
  <si>
    <t>B34</t>
  </si>
  <si>
    <t>B351</t>
  </si>
  <si>
    <t>B36</t>
  </si>
  <si>
    <t>B401</t>
  </si>
  <si>
    <t>B402</t>
  </si>
  <si>
    <t>B403</t>
  </si>
  <si>
    <t>B404</t>
  </si>
  <si>
    <t>B405</t>
  </si>
  <si>
    <t>B406</t>
  </si>
  <si>
    <t>B407</t>
  </si>
  <si>
    <t>B4082</t>
  </si>
  <si>
    <t>B4081</t>
  </si>
  <si>
    <t>B4091</t>
  </si>
  <si>
    <t>B4092</t>
  </si>
  <si>
    <t>B410</t>
  </si>
  <si>
    <t>B411</t>
  </si>
  <si>
    <t>B2</t>
  </si>
  <si>
    <t>B3</t>
  </si>
  <si>
    <t>B4</t>
  </si>
  <si>
    <t>B5</t>
  </si>
  <si>
    <t>Működési bevételek (=25+…+31+34+37+38+39)</t>
  </si>
  <si>
    <t>B51</t>
  </si>
  <si>
    <t>B52</t>
  </si>
  <si>
    <t>B53</t>
  </si>
  <si>
    <t>B54</t>
  </si>
  <si>
    <t>B55</t>
  </si>
  <si>
    <t>B64</t>
  </si>
  <si>
    <t>B71</t>
  </si>
  <si>
    <t>B72</t>
  </si>
  <si>
    <t>B73</t>
  </si>
  <si>
    <t>B74</t>
  </si>
  <si>
    <t>B75</t>
  </si>
  <si>
    <t>B65</t>
  </si>
  <si>
    <t>B61</t>
  </si>
  <si>
    <t>B62</t>
  </si>
  <si>
    <t>B63</t>
  </si>
  <si>
    <t>Működési célú átvett pénzeszközök (=47+…+51)</t>
  </si>
  <si>
    <t>B6</t>
  </si>
  <si>
    <t>Felhalmozási célú garancia- és kezességvállalásból származó megtérülések államháztartáson kívülről</t>
  </si>
  <si>
    <t>Felhalmozási célú visszatérítendő támogatások, kölcsönök visszatérülése az Európai Uniótól</t>
  </si>
  <si>
    <t>Felhalmozási célú visszatérítendő támogatások, kölcsönök visszatérülése kormányoktól és más nemzetközi szervezetektől</t>
  </si>
  <si>
    <t>Felhalmozási célú visszatérítendő támogatások, kölcsönök visszatérülése államháztartáson kívülről</t>
  </si>
  <si>
    <t>Egyéb felhalmozási célú átvett pénzeszközök</t>
  </si>
  <si>
    <t>B7</t>
  </si>
  <si>
    <t>Felhalmozási célú átvett pénzeszközök (=53+…+57)</t>
  </si>
  <si>
    <t>B11</t>
  </si>
  <si>
    <t>B12-B16</t>
  </si>
  <si>
    <t>Felhalmozási bevételek (=41+…+45)</t>
  </si>
  <si>
    <t>B1-B7</t>
  </si>
  <si>
    <t>Hosszú lejáratú hitelek, kölcsönök felvétele pénzügyi vállalkozástól</t>
  </si>
  <si>
    <t>Likviditási célú hitelek, kölcsönök felvétele pénzügyi vállalkozástól</t>
  </si>
  <si>
    <t>Rövid lejáratú hitelek, kölcsönök felvétele pénzügyi vállalkozástól</t>
  </si>
  <si>
    <t>Hitel-, kölcsönfelvétel pénzügyi vállalkozástól (=01+02+03)</t>
  </si>
  <si>
    <t>Forgatási célú belföldi értékpapírok beváltása, értékesítése</t>
  </si>
  <si>
    <t>Éven belüli lejáratú belföldi értékpapírok kibocsátása</t>
  </si>
  <si>
    <t>Éven túli lejáratú belföldi értékpapírok kibocsátása</t>
  </si>
  <si>
    <t>Maradvány igénybevétele (=10+11)</t>
  </si>
  <si>
    <t>Államháztartáson belüli megelőlegezések</t>
  </si>
  <si>
    <t>Államháztartáson belüli megelőlegezések törlesztése</t>
  </si>
  <si>
    <t>Központi, irányító szervi támogatás</t>
  </si>
  <si>
    <t>Lekötött bankbetétek megszüntetése</t>
  </si>
  <si>
    <t>Központi költségvetés sajátos finanszírozási bevételei</t>
  </si>
  <si>
    <t>B8111</t>
  </si>
  <si>
    <t>B8112</t>
  </si>
  <si>
    <t>B8113</t>
  </si>
  <si>
    <t>B811</t>
  </si>
  <si>
    <t>B8121</t>
  </si>
  <si>
    <t>B8122</t>
  </si>
  <si>
    <t>B8123</t>
  </si>
  <si>
    <t>B8124</t>
  </si>
  <si>
    <t>B812</t>
  </si>
  <si>
    <t>B8131</t>
  </si>
  <si>
    <t>B8132</t>
  </si>
  <si>
    <t>B813</t>
  </si>
  <si>
    <t>B814</t>
  </si>
  <si>
    <t>B815</t>
  </si>
  <si>
    <t>B816</t>
  </si>
  <si>
    <t>B817</t>
  </si>
  <si>
    <t>B818</t>
  </si>
  <si>
    <t>B814-B818</t>
  </si>
  <si>
    <t>B8</t>
  </si>
  <si>
    <t>Előző év költségvetési maradványának igénybevétele</t>
  </si>
  <si>
    <t>Előző év vállalkozási maradványának igénybevétele</t>
  </si>
  <si>
    <t>Egyéb finanszírozási bevételek (=13+17)</t>
  </si>
  <si>
    <t>Belföldi értékpapírok bevételei (=05+..+08)</t>
  </si>
  <si>
    <t>34.</t>
  </si>
  <si>
    <t>37.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</si>
  <si>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</si>
  <si>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</si>
  <si>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</si>
  <si>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</si>
  <si>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</si>
  <si>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</si>
  <si>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</si>
  <si>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</si>
  <si>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</si>
  <si>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</si>
  <si>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</si>
  <si>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</si>
  <si>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</si>
  <si>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</si>
  <si>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</si>
  <si>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</si>
  <si>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</si>
  <si>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</si>
  <si>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</si>
  <si>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</si>
  <si>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</si>
  <si>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</si>
  <si>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</si>
  <si>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</si>
  <si>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</si>
  <si>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</si>
  <si>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Törvény szerinti illetmények, munkabérek</t>
  </si>
  <si>
    <t>Normatív jutalmak</t>
  </si>
  <si>
    <t>Céljuttatás, projektprémium</t>
  </si>
  <si>
    <t>Készenléti, ügyeleti, helyettesítési díj, túlóra, túlszolgálat</t>
  </si>
  <si>
    <t>Végkielégítés</t>
  </si>
  <si>
    <t>Jubileumi jutalom</t>
  </si>
  <si>
    <t>Béren kívüli juttatások</t>
  </si>
  <si>
    <t>Ruházati költségtérítés</t>
  </si>
  <si>
    <t>Közlekedési költségtérítés</t>
  </si>
  <si>
    <t>Egyéb költségtérítések</t>
  </si>
  <si>
    <t>Lakhatási támogatások</t>
  </si>
  <si>
    <t>Szociális támogatások</t>
  </si>
  <si>
    <t>Foglalkoztatottak egyéb személyi juttatásai</t>
  </si>
  <si>
    <t>Foglalkoztatottak személyi juttatásai (=01+…+13)</t>
  </si>
  <si>
    <t>Választott tisztségviselők juttatásai</t>
  </si>
  <si>
    <t>Munkavégzésre irányuló egyéb jogviszonyban nem saját foglalkoztatottnak fizetett juttatások</t>
  </si>
  <si>
    <t>Egyéb külső személyi juttatások</t>
  </si>
  <si>
    <t>Külső személyi juttatások (=15+16+17)</t>
  </si>
  <si>
    <t>Személyi juttatások (=14+18)</t>
  </si>
  <si>
    <t>Szakmai anyagok beszerzése</t>
  </si>
  <si>
    <t>Üzemeltetési anyagok beszerzése</t>
  </si>
  <si>
    <t>Árubeszerzés</t>
  </si>
  <si>
    <t>Készletbeszerzés (=21+22+23)</t>
  </si>
  <si>
    <t>Informatikai szolgáltatások igénybevétele</t>
  </si>
  <si>
    <t>Egyéb kommunikációs szolgáltatások</t>
  </si>
  <si>
    <t>Kommunikációs szolgáltatások (=25+26)</t>
  </si>
  <si>
    <t>Vásárolt élelmezés</t>
  </si>
  <si>
    <t>Bérleti és lízing díjak</t>
  </si>
  <si>
    <t>Karbantartási, kisjavítási szolgáltatások</t>
  </si>
  <si>
    <t>Közvetített szolgáltatások</t>
  </si>
  <si>
    <t>Szakmai tevékenységet segítő szolgáltatások</t>
  </si>
  <si>
    <t>Egyéb szolgáltatások</t>
  </si>
  <si>
    <t>Kiküldetések kiadásai</t>
  </si>
  <si>
    <t>Reklám- és propagandakiadások</t>
  </si>
  <si>
    <t>Működési célú előzetesen felszámított általános forgalmi adó</t>
  </si>
  <si>
    <t>Fizetendő általános forgalmi adó</t>
  </si>
  <si>
    <t>Kamatkiadások</t>
  </si>
  <si>
    <t>Egyéb pénzügyi műveletek kiadásai</t>
  </si>
  <si>
    <t>Egyéb dologi kiadások</t>
  </si>
  <si>
    <t>Intézményi ellátottak pénzbeli juttatásai</t>
  </si>
  <si>
    <t>Egyéb nem intézményi ellátások</t>
  </si>
  <si>
    <t>A helyi önkormányzatok előző évi elszámolásából származó kiadások</t>
  </si>
  <si>
    <t>A helyi önkormányzatok törvényi előíráson alapuló befizetései</t>
  </si>
  <si>
    <t>Egyéb elvonások, befizetések</t>
  </si>
  <si>
    <t>Működési célú garancia- és kezességvállalásból származó kifizetés államháztartáson belülre</t>
  </si>
  <si>
    <t>Működési célú visszatérítendő támogatások, kölcsönök törlesztése államháztartáson belülre</t>
  </si>
  <si>
    <t>Egyéb működési célú támogatások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</si>
  <si>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</si>
  <si>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</si>
  <si>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Árkiegészítések, ártámogatások</t>
  </si>
  <si>
    <t>Kamattámogatások</t>
  </si>
  <si>
    <t>Egyéb működési célú támogatások államháztartáson kívülre</t>
  </si>
  <si>
    <t>Tartalékok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</si>
  <si>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</si>
  <si>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</si>
  <si>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</si>
  <si>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</si>
  <si>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</si>
  <si>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Ingatlanok felújítása</t>
  </si>
  <si>
    <t>Informatikai eszközök felújítása</t>
  </si>
  <si>
    <t>Egyéb tárgyi eszközök felújítása</t>
  </si>
  <si>
    <t>Felújítási célú előzetesen felszámított általános forgalmi adó</t>
  </si>
  <si>
    <t>Felhalmozási célú garancia- és kezességvállalásból származó kifizetés államháztartáson belülre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</si>
  <si>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</si>
  <si>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</si>
  <si>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</si>
  <si>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</si>
  <si>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</si>
  <si>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>Egyéb felhalmozási célú támogatások államháztartáson kívülre</t>
  </si>
  <si>
    <t>K1101</t>
  </si>
  <si>
    <t>K1102</t>
  </si>
  <si>
    <t>K1103</t>
  </si>
  <si>
    <t>K1104</t>
  </si>
  <si>
    <t>K1105</t>
  </si>
  <si>
    <t>K1106</t>
  </si>
  <si>
    <t>K1107</t>
  </si>
  <si>
    <t>K1108</t>
  </si>
  <si>
    <t>K1109</t>
  </si>
  <si>
    <t>K1110</t>
  </si>
  <si>
    <t>K1111</t>
  </si>
  <si>
    <t>K1112</t>
  </si>
  <si>
    <t>K1113</t>
  </si>
  <si>
    <t>K11</t>
  </si>
  <si>
    <t>K121</t>
  </si>
  <si>
    <t>K122</t>
  </si>
  <si>
    <t>K123</t>
  </si>
  <si>
    <t>K12</t>
  </si>
  <si>
    <t>K1</t>
  </si>
  <si>
    <t>K2</t>
  </si>
  <si>
    <t>K3</t>
  </si>
  <si>
    <t>K311</t>
  </si>
  <si>
    <t>K312</t>
  </si>
  <si>
    <t>K313</t>
  </si>
  <si>
    <t>K31</t>
  </si>
  <si>
    <t>K321</t>
  </si>
  <si>
    <t>K322</t>
  </si>
  <si>
    <t>K32</t>
  </si>
  <si>
    <t>K332</t>
  </si>
  <si>
    <t>K333</t>
  </si>
  <si>
    <t>K334</t>
  </si>
  <si>
    <t>K335</t>
  </si>
  <si>
    <t>K336</t>
  </si>
  <si>
    <t>K337</t>
  </si>
  <si>
    <t>K33</t>
  </si>
  <si>
    <t>K341</t>
  </si>
  <si>
    <t>K342</t>
  </si>
  <si>
    <t>K34</t>
  </si>
  <si>
    <t>K351</t>
  </si>
  <si>
    <t>K352</t>
  </si>
  <si>
    <t>K353</t>
  </si>
  <si>
    <t>K354</t>
  </si>
  <si>
    <t>K355</t>
  </si>
  <si>
    <t>K35</t>
  </si>
  <si>
    <t>K47</t>
  </si>
  <si>
    <t>K48</t>
  </si>
  <si>
    <t>K4</t>
  </si>
  <si>
    <t>K5021</t>
  </si>
  <si>
    <t>K5022</t>
  </si>
  <si>
    <t>K5023</t>
  </si>
  <si>
    <t>K5</t>
  </si>
  <si>
    <t>K61</t>
  </si>
  <si>
    <t>K62</t>
  </si>
  <si>
    <t>K63</t>
  </si>
  <si>
    <t>K64</t>
  </si>
  <si>
    <t>K502</t>
  </si>
  <si>
    <t>K503</t>
  </si>
  <si>
    <t>K504</t>
  </si>
  <si>
    <t>K505</t>
  </si>
  <si>
    <t>K506</t>
  </si>
  <si>
    <t>K507</t>
  </si>
  <si>
    <t>K508</t>
  </si>
  <si>
    <t>K509</t>
  </si>
  <si>
    <t>K510</t>
  </si>
  <si>
    <t>K512</t>
  </si>
  <si>
    <t>K513</t>
  </si>
  <si>
    <t>Egyéb működési célú kiadások (=54+55…+64)</t>
  </si>
  <si>
    <t>K67</t>
  </si>
  <si>
    <t>K6</t>
  </si>
  <si>
    <t>K71</t>
  </si>
  <si>
    <t>K72</t>
  </si>
  <si>
    <t>K73</t>
  </si>
  <si>
    <t>K74</t>
  </si>
  <si>
    <t>K7</t>
  </si>
  <si>
    <t>K81</t>
  </si>
  <si>
    <t>K82</t>
  </si>
  <si>
    <t>K83</t>
  </si>
  <si>
    <t>K84</t>
  </si>
  <si>
    <t>K85</t>
  </si>
  <si>
    <t>K86</t>
  </si>
  <si>
    <t>K89</t>
  </si>
  <si>
    <t>K8</t>
  </si>
  <si>
    <t>Szolgáltatási kiadások (=28+…+36)</t>
  </si>
  <si>
    <t>Kiküldetések, reklám- és propagandakiadások (=38+39)</t>
  </si>
  <si>
    <t>Különféle befizetések és egyéb dologi kiadások (=41+…+45)</t>
  </si>
  <si>
    <t>Dologi kiadások (=24+27+37+40+46)</t>
  </si>
  <si>
    <t>Ellátottak pénzbeli juttatásai (=48+49)</t>
  </si>
  <si>
    <t>Elvonások és befizetések (=51+52+53)</t>
  </si>
  <si>
    <t>Beruházások (=66+…+70)</t>
  </si>
  <si>
    <t>Felújítások (=72+...+75)</t>
  </si>
  <si>
    <t>Egyéb felhalmozási célú kiadások (=77+…+83)</t>
  </si>
  <si>
    <t>K1-K8</t>
  </si>
  <si>
    <t>Működési célú visszatérítendő támogatások, kölcsönök nyújtása államháztartáson belülre</t>
  </si>
  <si>
    <t>Immateriális javak beszerzése, létesítése összesen</t>
  </si>
  <si>
    <t>Ingatlanok beszerzése, létesítése összesen</t>
  </si>
  <si>
    <t>Informatikai eszközök beszerzése, létesítése összesen</t>
  </si>
  <si>
    <t>Egyéb tárgyi eszközök beszerzése, létesítése összesen</t>
  </si>
  <si>
    <t>BERUHÁZÁSOK ÖSSZESEN</t>
  </si>
  <si>
    <t>FELÚJÍTÁSOK ÖSSZESEN</t>
  </si>
  <si>
    <t>FELHALMOZÁSI KÖLTSÉGVETÉS KIADÁSAI / BERUHÁZÁSOK (forint bruttó értékben)</t>
  </si>
  <si>
    <t>FELHALMOZÁSI KÖLTSÉGVETÉS KIADÁSAI / FELÚJÍTÁSOK (forint bruttó értékben)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</si>
  <si>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</si>
  <si>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</si>
  <si>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</si>
  <si>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Hitel-, kölcsöntörlesztés államháztartáson kívülre (=01+02+03)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</si>
  <si>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</si>
  <si>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</si>
  <si>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</si>
  <si>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</si>
  <si>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</si>
  <si>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</si>
  <si>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értékpapírok kiadásai (=05+…+10)</t>
  </si>
  <si>
    <t>Államháztartáson belüli megelőlegezések folyósítása</t>
  </si>
  <si>
    <t>Államháztartáson belüli megelőlegezések visszafizetése</t>
  </si>
  <si>
    <t>Központi, irányító szervi támogatások folyósítása</t>
  </si>
  <si>
    <t>Pénzeszközök lekötött bankbetétként elhelyezése</t>
  </si>
  <si>
    <t>Pénzügyi lízing kiadásai</t>
  </si>
  <si>
    <t>Központi költségvetés sajátos finanszírozási kiadásai</t>
  </si>
  <si>
    <t>K9111</t>
  </si>
  <si>
    <t>K9112</t>
  </si>
  <si>
    <t>K9113</t>
  </si>
  <si>
    <t>K911</t>
  </si>
  <si>
    <t>K9121</t>
  </si>
  <si>
    <t>K9122</t>
  </si>
  <si>
    <t>K9123</t>
  </si>
  <si>
    <t>K9124</t>
  </si>
  <si>
    <t>K9125</t>
  </si>
  <si>
    <t>K9126</t>
  </si>
  <si>
    <t>K912</t>
  </si>
  <si>
    <t>K913</t>
  </si>
  <si>
    <t>K914</t>
  </si>
  <si>
    <t>K915</t>
  </si>
  <si>
    <t>K916</t>
  </si>
  <si>
    <t>K917</t>
  </si>
  <si>
    <t>K918</t>
  </si>
  <si>
    <t>K9</t>
  </si>
  <si>
    <t>Összesen</t>
  </si>
  <si>
    <t>Működési célú támogatások államháztartáson belülről</t>
  </si>
  <si>
    <t>Felhalmozási célú támogatások államháztartáson belülről</t>
  </si>
  <si>
    <t>Felhalmozási bevételek</t>
  </si>
  <si>
    <t>Beruházások</t>
  </si>
  <si>
    <t>Felújítások</t>
  </si>
  <si>
    <t>Felhalmozási célú átvett pénzeszközök</t>
  </si>
  <si>
    <t>B1-B8</t>
  </si>
  <si>
    <t>K1-K9</t>
  </si>
  <si>
    <t>KÖLTSÉGVETÉSI BEVÉTELEK</t>
  </si>
  <si>
    <t>Költségvetési bevételek összesen (=8+14+20+24+34+37+40+46+52+58)</t>
  </si>
  <si>
    <t>Finanszírozási bevételek összesen (=04+09+12+18)</t>
  </si>
  <si>
    <t>KÖLTSÉGVETÉSI ÉS FINANSZÍROZÁSI BEVÉTELEK ÖSSZESEN (=59+)</t>
  </si>
  <si>
    <t>KÖLTSÉGVETÉSI ÉS FINANSZÍROZÁSI KIADÁSOK ROVATREND SZERINTI BONTÁSBAN</t>
  </si>
  <si>
    <t>KÖLTSÉGVETÉSI ÉS FINANSZÍROZÁSI BEVÉTELEK ROVATREND SZERINTI BONTÁSBAN</t>
  </si>
  <si>
    <t>KÖLTSÉGVETÉSI KIADÁSOK</t>
  </si>
  <si>
    <t>Költségvetési kiadások összesen (=19+20+45+54+71+79+84+94)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</si>
  <si>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</si>
  <si>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</si>
  <si>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</si>
  <si>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</si>
  <si>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</si>
  <si>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</si>
  <si>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</si>
  <si>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</si>
  <si>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</si>
  <si>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</si>
  <si>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</si>
  <si>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</si>
  <si>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</si>
  <si>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</si>
  <si>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</si>
  <si>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</si>
  <si>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</si>
  <si>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</si>
  <si>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</si>
  <si>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Finanszírozási kiadások összesen (=4+11+12…+17)</t>
  </si>
  <si>
    <t>KÖLTSÉGVETÉSI ÉS FINANSZÍROZÁSI KIADÁSOK ÖSSZESEN (=85+104)</t>
  </si>
  <si>
    <t>B12-16</t>
  </si>
  <si>
    <t>Egyéb működési célú kiadások</t>
  </si>
  <si>
    <t>BEVÉTELEK jogcím megnevezése</t>
  </si>
  <si>
    <t>KIADÁSOK jogcím megnevezése</t>
  </si>
  <si>
    <t>ÖSSZEVONT BEVÉTELEK ÉS KIADÁSOK EGYENLEGE (adatok forintban)</t>
  </si>
  <si>
    <t>2025. évi tányadat</t>
  </si>
  <si>
    <t>2026. évi eredeti előirányzat</t>
  </si>
  <si>
    <t>2026.évi módosított előirányzat I.</t>
  </si>
  <si>
    <t>MŰKÖDÉSI CÉLÚ KÖLTSÉGVETÉSI BEVÉTELEK</t>
  </si>
  <si>
    <t>FELHALMOZÁSI CÉLÚ KÖLTSÉGVETÉSI BEVÉTELEK</t>
  </si>
  <si>
    <t>FELHALMOZÁSI KÖLTSÉGVETÉSI BEVÉTELEK ÖSSZESEN (=9…+11)</t>
  </si>
  <si>
    <t>MŰKÖDÉSI KÖLTSÉGVETÉSI BEVÉTELEK ÖSSZESEN (=2…+6)</t>
  </si>
  <si>
    <t>KÖLTSÉGVETÉSI BEVÉTELEK ÖSSZESEN (=7+12)</t>
  </si>
  <si>
    <t>Hitel, kölcsön felvétele államháztartáson kívülről</t>
  </si>
  <si>
    <t>Belföldi értékpapírok bevétele</t>
  </si>
  <si>
    <t>Maradvány igénybevétele</t>
  </si>
  <si>
    <t>ÁH-n belüli megelőlegezések bevétele</t>
  </si>
  <si>
    <t>Központi, irányítószervi támogatás</t>
  </si>
  <si>
    <t>Lekötött bankbetétek megszűntetése</t>
  </si>
  <si>
    <t>FINANSZÍROZÁSI BEVÉTELEK ÖSSZESEN (=15…+20)</t>
  </si>
  <si>
    <t>BEVÉTELEK MINDÖSSZESEN (=13+21)</t>
  </si>
  <si>
    <t>MŰKÖDÉSI CÉLÚ KÖLTSÉGVETÉSI KIADÁSOK</t>
  </si>
  <si>
    <t>Dologi kiadások</t>
  </si>
  <si>
    <t>MŰKÖDÉSI CÉLÚ KÖLTSÉGVETÉSI KIADÁSOK ÖSSZESEN (=26…+30)</t>
  </si>
  <si>
    <t>FELHALMOZÁSI CÉLÚ KÖLTSÉGVETÉSI KIADÁSOK</t>
  </si>
  <si>
    <t>Egyéb felhalmozási célú kiadások</t>
  </si>
  <si>
    <t>FELHALMOZÁSI CÉLÚ KÖLTSÉGVETÉSI KIADÁSOK ÖSSZESEN (=33…+35)</t>
  </si>
  <si>
    <t>KÖLTSÉGVETÉSI KIADÁSOK ÖSSZESEN (=31+36)</t>
  </si>
  <si>
    <t>Belföldi értékpapírok kiadásai</t>
  </si>
  <si>
    <t>Központi, irányítószervi támogatás folyósítása</t>
  </si>
  <si>
    <t>Pénzeszközök betétként történő elhelyezése</t>
  </si>
  <si>
    <t>FINANSZÍROZÁSI KIADÁSOK ÖSSZESEN (=39….+42)</t>
  </si>
  <si>
    <t>KIADÁSOK MINDÖSSZESEN (=37+43)</t>
  </si>
  <si>
    <t>KÖLTSÉGVETÉSI BEVÉTELEK ÉS KIADÁSOK EGYENLEGE (=22-44)</t>
  </si>
  <si>
    <t xml:space="preserve">Tokod Nagyközség Önkormányzata és a hozzá kapcsolódó intézmények </t>
  </si>
  <si>
    <t>Tokodi Mesevár Óvoda- Mini Bölcsőde és Bölcsőde</t>
  </si>
  <si>
    <t>MŰKÖDÉSI CÉLÚ BEVÉTELEK</t>
  </si>
  <si>
    <t>MŰKÖDÉSI CÉLÚ KIADÁSOK</t>
  </si>
  <si>
    <t>FELHALMOZÁSI BEVÉTELEK</t>
  </si>
  <si>
    <t>FELHALMOZÁSI KIADÁSOK</t>
  </si>
  <si>
    <t>KÖLTSÉGVETÉS EGYENLEGE</t>
  </si>
  <si>
    <t>MŰKÖDÉSI CÉLÚ BEVÉTELEK ÉS KIADÁSOK EGYENLEGE</t>
  </si>
  <si>
    <t>FELHALMOZÁSI BEVÉTELEK ÉS KIADÁSOK EGYENLEGE</t>
  </si>
  <si>
    <t>Működési célú visszatérítendő támogatások, kölcsönök igénybevétele államháztartáson belülről</t>
  </si>
  <si>
    <t>Működési célú visszatérítendő támogatások, kölcsönök visszatérülése kormányoktól és más nemzetközi szervezetektől</t>
  </si>
  <si>
    <t>Működési célú visszatérítendő támogatások, kölcsönök visszatérülése államháztartáson kívülről</t>
  </si>
  <si>
    <t>Villamosenergia szolgáltatás díja</t>
  </si>
  <si>
    <t>Gázenergia szolgáltatás díja</t>
  </si>
  <si>
    <t>Víz- és csatorna szolgáltatások díja</t>
  </si>
  <si>
    <t>K3311</t>
  </si>
  <si>
    <t>K3312</t>
  </si>
  <si>
    <t>K3314</t>
  </si>
  <si>
    <t>Pincevölgyi kerékpárút építése</t>
  </si>
  <si>
    <t>Szociális közösségi épület fejlesztése</t>
  </si>
  <si>
    <t>Kékinfrastruktúra fejlesztése - Csapadékvíz elvezetése</t>
  </si>
  <si>
    <t>Aktívan a Dunamentén - Aktív és ökoturisztikai fejlesztések - Látogatóközpont</t>
  </si>
  <si>
    <t>Kerékpáros pumpapálya</t>
  </si>
  <si>
    <t>Óvodai játszóudvar fejlesztése</t>
  </si>
  <si>
    <t>Ebszőnybányai buszváró telepítése + Üdvözlő tábla áthelyezése</t>
  </si>
  <si>
    <t>Térfigyelő kamerák elhelyezése</t>
  </si>
  <si>
    <t>Árnyékolók beszerzése - bölcsőde épület TÜ</t>
  </si>
  <si>
    <t>Közvilágítás korszerűsítése</t>
  </si>
  <si>
    <t>Ingatlan kisajátítások</t>
  </si>
  <si>
    <t>Mobiltelefon - bölcsőde TÜ</t>
  </si>
  <si>
    <t>Óvoda laptop beszerzés (3 db)</t>
  </si>
  <si>
    <t>Polgármesteri Hivatal egyéb informatikai eszközbeszerzés</t>
  </si>
  <si>
    <t>Egyéb eszközbeszerzés</t>
  </si>
  <si>
    <t>2025. évi tényadat</t>
  </si>
  <si>
    <t>Településfásítás</t>
  </si>
  <si>
    <t>Intézmények kiadásai:</t>
  </si>
  <si>
    <t>Intézmények bevételei:</t>
  </si>
  <si>
    <t>Intézményfinanszírozás:</t>
  </si>
  <si>
    <t>PH</t>
  </si>
  <si>
    <t>Óvoda</t>
  </si>
  <si>
    <t>Eredeti:</t>
  </si>
  <si>
    <t>I. módosítás:</t>
  </si>
  <si>
    <t>MOL-Új Európa Alapítvány virágosítási pályázat</t>
  </si>
  <si>
    <t>Teljesítés</t>
  </si>
  <si>
    <t>K.</t>
  </si>
  <si>
    <t>L.</t>
  </si>
  <si>
    <t>M.</t>
  </si>
  <si>
    <t>N.</t>
  </si>
  <si>
    <t>O.</t>
  </si>
  <si>
    <t>P.</t>
  </si>
  <si>
    <t>Q.</t>
  </si>
  <si>
    <t>R.</t>
  </si>
  <si>
    <t>TOKOD NAGYKÖZSÉG ÖNKORMÁNYZATA  2026. ÉVI KÖLTSÉGVETÉSÉNEK I. FÉLÉVI TELJESÍTÉSE</t>
  </si>
  <si>
    <t>AZ ÖNKORMÁNYZAT ÉS INTÉZMÉNYEI VONATKOZÁSÁBAN (adatok forintban)</t>
  </si>
  <si>
    <t>2026. I. félévi tényadat</t>
  </si>
  <si>
    <t>Teljesítési mutató</t>
  </si>
  <si>
    <t>Windows program beszerzése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</si>
</sst>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i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21212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12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left"/>
    </xf>
    <xf numFmtId="3" fontId="0" fillId="0" borderId="1" xfId="0" applyNumberFormat="1" applyBorder="1"/>
    <xf numFmtId="3" fontId="1" fillId="3" borderId="1" xfId="0" applyNumberFormat="1" applyFont="1" applyFill="1" applyBorder="1"/>
    <xf numFmtId="3" fontId="1" fillId="2" borderId="1" xfId="0" applyNumberFormat="1" applyFont="1" applyFill="1" applyBorder="1"/>
    <xf numFmtId="3" fontId="0" fillId="0" borderId="0" xfId="0" applyNumberFormat="1"/>
    <xf numFmtId="3" fontId="0" fillId="3" borderId="1" xfId="0" applyNumberFormat="1" applyFill="1" applyBorder="1"/>
    <xf numFmtId="3" fontId="9" fillId="2" borderId="1" xfId="0" applyNumberFormat="1" applyFont="1" applyFill="1" applyBorder="1"/>
    <xf numFmtId="0" fontId="0" fillId="0" borderId="8" xfId="0" applyBorder="1"/>
    <xf numFmtId="3" fontId="0" fillId="0" borderId="9" xfId="0" applyNumberFormat="1" applyBorder="1"/>
    <xf numFmtId="164" fontId="0" fillId="0" borderId="1" xfId="2" applyNumberFormat="1" applyFont="1" applyBorder="1" applyAlignment="1">
      <alignment wrapText="1"/>
    </xf>
    <xf numFmtId="164" fontId="1" fillId="2" borderId="1" xfId="2" applyNumberFormat="1" applyFont="1" applyFill="1" applyBorder="1" applyAlignment="1">
      <alignment wrapText="1"/>
    </xf>
    <xf numFmtId="164" fontId="1" fillId="3" borderId="1" xfId="2" applyNumberFormat="1" applyFont="1" applyFill="1" applyBorder="1" applyAlignment="1">
      <alignment wrapText="1"/>
    </xf>
    <xf numFmtId="164" fontId="0" fillId="0" borderId="1" xfId="2" applyNumberFormat="1" applyFont="1" applyBorder="1" applyAlignment="1">
      <alignment vertical="center" wrapText="1"/>
    </xf>
    <xf numFmtId="0" fontId="7" fillId="0" borderId="1" xfId="0" applyFont="1" applyBorder="1"/>
    <xf numFmtId="164" fontId="0" fillId="0" borderId="11" xfId="2" applyNumberFormat="1" applyFont="1" applyBorder="1" applyAlignment="1">
      <alignment wrapText="1"/>
    </xf>
    <xf numFmtId="164" fontId="0" fillId="0" borderId="0" xfId="0" applyNumberFormat="1"/>
    <xf numFmtId="164" fontId="0" fillId="0" borderId="1" xfId="2" applyNumberFormat="1" applyFont="1" applyFill="1" applyBorder="1" applyAlignment="1">
      <alignment wrapText="1"/>
    </xf>
    <xf numFmtId="164" fontId="0" fillId="0" borderId="0" xfId="2" applyNumberFormat="1" applyFont="1"/>
    <xf numFmtId="0" fontId="13" fillId="0" borderId="1" xfId="0" applyFont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/>
    </xf>
    <xf numFmtId="3" fontId="1" fillId="0" borderId="0" xfId="0" applyNumberFormat="1" applyFont="1"/>
    <xf numFmtId="3" fontId="0" fillId="0" borderId="12" xfId="0" applyNumberFormat="1" applyBorder="1"/>
    <xf numFmtId="3" fontId="13" fillId="0" borderId="1" xfId="0" applyNumberFormat="1" applyFont="1" applyBorder="1"/>
    <xf numFmtId="165" fontId="0" fillId="0" borderId="1" xfId="2" applyNumberFormat="1" applyFont="1" applyBorder="1" applyAlignment="1">
      <alignment wrapText="1"/>
    </xf>
    <xf numFmtId="164" fontId="13" fillId="0" borderId="1" xfId="2" applyNumberFormat="1" applyFont="1" applyBorder="1" applyAlignment="1">
      <alignment wrapText="1"/>
    </xf>
    <xf numFmtId="164" fontId="1" fillId="0" borderId="1" xfId="2" applyNumberFormat="1" applyFont="1" applyBorder="1" applyAlignment="1">
      <alignment wrapText="1"/>
    </xf>
    <xf numFmtId="10" fontId="0" fillId="0" borderId="1" xfId="0" applyNumberFormat="1" applyBorder="1"/>
    <xf numFmtId="10" fontId="1" fillId="3" borderId="1" xfId="0" applyNumberFormat="1" applyFont="1" applyFill="1" applyBorder="1"/>
    <xf numFmtId="10" fontId="1" fillId="2" borderId="1" xfId="0" applyNumberFormat="1" applyFont="1" applyFill="1" applyBorder="1"/>
    <xf numFmtId="10" fontId="14" fillId="3" borderId="1" xfId="0" applyNumberFormat="1" applyFont="1" applyFill="1" applyBorder="1"/>
    <xf numFmtId="10" fontId="14" fillId="2" borderId="1" xfId="0" applyNumberFormat="1" applyFont="1" applyFill="1" applyBorder="1"/>
    <xf numFmtId="10" fontId="14" fillId="0" borderId="1" xfId="0" applyNumberFormat="1" applyFont="1" applyBorder="1"/>
    <xf numFmtId="3" fontId="14" fillId="0" borderId="1" xfId="0" applyNumberFormat="1" applyFont="1" applyBorder="1"/>
    <xf numFmtId="3" fontId="14" fillId="3" borderId="1" xfId="0" applyNumberFormat="1" applyFont="1" applyFill="1" applyBorder="1"/>
    <xf numFmtId="10" fontId="1" fillId="0" borderId="1" xfId="0" applyNumberFormat="1" applyFont="1" applyBorder="1"/>
    <xf numFmtId="3" fontId="1" fillId="0" borderId="1" xfId="0" applyNumberFormat="1" applyFont="1" applyBorder="1"/>
    <xf numFmtId="3" fontId="15" fillId="0" borderId="1" xfId="0" applyNumberFormat="1" applyFont="1" applyBorder="1"/>
    <xf numFmtId="3" fontId="14" fillId="2" borderId="1" xfId="0" applyNumberFormat="1" applyFont="1" applyFill="1" applyBorder="1"/>
    <xf numFmtId="3" fontId="14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/>
    </xf>
    <xf numFmtId="3" fontId="14" fillId="0" borderId="12" xfId="0" applyNumberFormat="1" applyFont="1" applyBorder="1"/>
    <xf numFmtId="0" fontId="16" fillId="0" borderId="0" xfId="0" applyFont="1"/>
    <xf numFmtId="3" fontId="1" fillId="0" borderId="12" xfId="0" applyNumberFormat="1" applyFont="1" applyBorder="1"/>
    <xf numFmtId="9" fontId="1" fillId="3" borderId="1" xfId="0" applyNumberFormat="1" applyFont="1" applyFill="1" applyBorder="1"/>
    <xf numFmtId="3" fontId="0" fillId="0" borderId="1" xfId="0" applyNumberFormat="1" applyBorder="1" applyAlignment="1">
      <alignment horizontal="center"/>
    </xf>
    <xf numFmtId="3" fontId="1" fillId="0" borderId="9" xfId="0" applyNumberFormat="1" applyFont="1" applyBorder="1"/>
    <xf numFmtId="10" fontId="0" fillId="0" borderId="1" xfId="2" applyNumberFormat="1" applyFont="1" applyBorder="1" applyAlignment="1">
      <alignment wrapText="1"/>
    </xf>
    <xf numFmtId="10" fontId="1" fillId="2" borderId="1" xfId="2" applyNumberFormat="1" applyFont="1" applyFill="1" applyBorder="1" applyAlignment="1">
      <alignment wrapText="1"/>
    </xf>
    <xf numFmtId="165" fontId="0" fillId="0" borderId="11" xfId="2" applyNumberFormat="1" applyFont="1" applyBorder="1" applyAlignment="1">
      <alignment wrapText="1"/>
    </xf>
    <xf numFmtId="10" fontId="1" fillId="3" borderId="1" xfId="2" applyNumberFormat="1" applyFont="1" applyFill="1" applyBorder="1" applyAlignment="1">
      <alignment wrapText="1"/>
    </xf>
    <xf numFmtId="10" fontId="1" fillId="0" borderId="11" xfId="2" applyNumberFormat="1" applyFont="1" applyBorder="1" applyAlignment="1">
      <alignment wrapText="1"/>
    </xf>
    <xf numFmtId="164" fontId="1" fillId="0" borderId="11" xfId="2" applyNumberFormat="1" applyFont="1" applyBorder="1" applyAlignment="1">
      <alignment wrapText="1"/>
    </xf>
    <xf numFmtId="164" fontId="1" fillId="0" borderId="0" xfId="0" applyNumberFormat="1" applyFont="1"/>
    <xf numFmtId="165" fontId="1" fillId="3" borderId="1" xfId="2" applyNumberFormat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0" xfId="0" applyBorder="1"/>
    <xf numFmtId="0" fontId="1" fillId="2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3" borderId="12" xfId="0" applyFont="1" applyFill="1" applyBorder="1"/>
    <xf numFmtId="0" fontId="0" fillId="0" borderId="12" xfId="0" applyBorder="1"/>
    <xf numFmtId="0" fontId="6" fillId="3" borderId="4" xfId="0" applyFont="1" applyFill="1" applyBorder="1" applyAlignment="1">
      <alignment wrapText="1"/>
    </xf>
    <xf numFmtId="0" fontId="6" fillId="3" borderId="12" xfId="0" applyFont="1" applyFill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1" fillId="3" borderId="1" xfId="0" applyFont="1" applyFill="1" applyBorder="1"/>
    <xf numFmtId="0" fontId="1" fillId="2" borderId="6" xfId="0" applyFont="1" applyFill="1" applyBorder="1"/>
    <xf numFmtId="0" fontId="1" fillId="0" borderId="7" xfId="0" applyFont="1" applyBorder="1"/>
    <xf numFmtId="0" fontId="9" fillId="2" borderId="6" xfId="0" applyFont="1" applyFill="1" applyBorder="1"/>
    <xf numFmtId="0" fontId="0" fillId="0" borderId="7" xfId="0" applyBorder="1"/>
    <xf numFmtId="0" fontId="1" fillId="0" borderId="1" xfId="0" applyFont="1" applyBorder="1"/>
    <xf numFmtId="3" fontId="0" fillId="0" borderId="6" xfId="0" applyNumberFormat="1" applyBorder="1"/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64" fontId="1" fillId="3" borderId="6" xfId="2" applyNumberFormat="1" applyFont="1" applyFill="1" applyBorder="1" applyAlignment="1">
      <alignment wrapText="1"/>
    </xf>
    <xf numFmtId="164" fontId="1" fillId="3" borderId="7" xfId="2" applyNumberFormat="1" applyFont="1" applyFill="1" applyBorder="1" applyAlignment="1">
      <alignment wrapText="1"/>
    </xf>
    <xf numFmtId="164" fontId="1" fillId="2" borderId="6" xfId="2" applyNumberFormat="1" applyFont="1" applyFill="1" applyBorder="1" applyAlignment="1">
      <alignment wrapText="1"/>
    </xf>
    <xf numFmtId="164" fontId="0" fillId="0" borderId="7" xfId="2" applyNumberFormat="1" applyFont="1" applyBorder="1" applyAlignment="1">
      <alignment wrapText="1"/>
    </xf>
    <xf numFmtId="164" fontId="0" fillId="3" borderId="7" xfId="2" applyNumberFormat="1" applyFont="1" applyFill="1" applyBorder="1" applyAlignment="1">
      <alignment wrapText="1"/>
    </xf>
    <xf numFmtId="164" fontId="1" fillId="0" borderId="1" xfId="2" applyNumberFormat="1" applyFont="1" applyBorder="1" applyAlignment="1">
      <alignment wrapText="1"/>
    </xf>
  </cellXfs>
  <cellStyles count="3">
    <cellStyle name="Ezres" xfId="2" builtinId="3"/>
    <cellStyle name="Normál" xfId="0" builtinId="0"/>
    <cellStyle name="Normál 2" xfId="1" xr:uid="{F33D88F9-B783-4AB9-86AF-4E2AEAD371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FF65-9A65-4A2E-81A8-E238930B7451}">
  <sheetPr>
    <pageSetUpPr fitToPage="1"/>
  </sheetPr>
  <dimension ref="A1:S96"/>
  <sheetViews>
    <sheetView workbookViewId="0">
      <pane ySplit="9" topLeftCell="A10" activePane="bottomLeft" state="frozen"/>
      <selection pane="bottomLeft" activeCell="B17" sqref="B17"/>
    </sheetView>
  </sheetViews>
  <sheetFormatPr defaultRowHeight="15" x14ac:dyDescent="0.25"/>
  <cols>
    <col min="1" max="1" width="8.5703125" customWidth="1"/>
    <col min="2" max="2" width="59" style="3" customWidth="1"/>
    <col min="3" max="3" width="9.85546875" style="3" customWidth="1"/>
    <col min="4" max="6" width="12.85546875" customWidth="1"/>
    <col min="7" max="7" width="9.85546875" customWidth="1"/>
    <col min="8" max="10" width="12.85546875" customWidth="1"/>
    <col min="11" max="11" width="8.7109375" customWidth="1"/>
    <col min="12" max="14" width="12.85546875" customWidth="1"/>
    <col min="15" max="15" width="8.5703125" style="19" customWidth="1"/>
    <col min="16" max="18" width="12.85546875" customWidth="1"/>
    <col min="19" max="19" width="7.85546875" style="19" customWidth="1"/>
  </cols>
  <sheetData>
    <row r="1" spans="1:19" s="17" customFormat="1" ht="15.75" x14ac:dyDescent="0.25">
      <c r="A1" s="114" t="s">
        <v>590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</row>
    <row r="2" spans="1:19" s="17" customFormat="1" ht="15.75" x14ac:dyDescent="0.25">
      <c r="A2" s="114" t="s">
        <v>480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s="17" customFormat="1" ht="15.75" x14ac:dyDescent="0.25">
      <c r="A3" s="114" t="s">
        <v>591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s="16" customFormat="1" ht="15.75" x14ac:dyDescent="0.25">
      <c r="B4" s="17"/>
      <c r="C4" s="18"/>
      <c r="O4" s="79"/>
      <c r="S4" s="79"/>
    </row>
    <row r="5" spans="1:19" ht="18.75" x14ac:dyDescent="0.3">
      <c r="A5" s="117" t="s">
        <v>475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8"/>
      <c r="S5" s="118"/>
    </row>
    <row r="6" spans="1:19" x14ac:dyDescent="0.25">
      <c r="A6" s="115" t="s">
        <v>0</v>
      </c>
      <c r="B6" s="4" t="s">
        <v>1</v>
      </c>
      <c r="C6" s="4" t="s">
        <v>2</v>
      </c>
      <c r="D6" s="12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55</v>
      </c>
      <c r="L6" s="13" t="s">
        <v>582</v>
      </c>
      <c r="M6" s="13" t="s">
        <v>583</v>
      </c>
      <c r="N6" s="13" t="s">
        <v>584</v>
      </c>
      <c r="O6" s="13" t="s">
        <v>585</v>
      </c>
      <c r="P6" s="13" t="s">
        <v>586</v>
      </c>
      <c r="Q6" s="13" t="s">
        <v>587</v>
      </c>
      <c r="R6" s="13" t="s">
        <v>588</v>
      </c>
      <c r="S6" s="13" t="s">
        <v>589</v>
      </c>
    </row>
    <row r="7" spans="1:19" ht="45.75" customHeight="1" x14ac:dyDescent="0.25">
      <c r="A7" s="115"/>
      <c r="B7" s="115" t="s">
        <v>10</v>
      </c>
      <c r="C7" s="115" t="s">
        <v>54</v>
      </c>
      <c r="D7" s="105" t="s">
        <v>16</v>
      </c>
      <c r="E7" s="121"/>
      <c r="F7" s="96"/>
      <c r="G7" s="97"/>
      <c r="H7" s="105" t="s">
        <v>15</v>
      </c>
      <c r="I7" s="121"/>
      <c r="J7" s="96"/>
      <c r="K7" s="97"/>
      <c r="L7" s="105" t="s">
        <v>539</v>
      </c>
      <c r="M7" s="121"/>
      <c r="N7" s="96"/>
      <c r="O7" s="97"/>
      <c r="P7" s="115" t="s">
        <v>43</v>
      </c>
      <c r="Q7" s="115"/>
      <c r="R7" s="116"/>
      <c r="S7" s="116"/>
    </row>
    <row r="8" spans="1:19" x14ac:dyDescent="0.25">
      <c r="A8" s="115"/>
      <c r="B8" s="124"/>
      <c r="C8" s="124"/>
      <c r="D8" s="15" t="s">
        <v>11</v>
      </c>
      <c r="E8" s="15" t="s">
        <v>12</v>
      </c>
      <c r="F8" s="98" t="s">
        <v>581</v>
      </c>
      <c r="G8" s="99"/>
      <c r="H8" s="15" t="s">
        <v>11</v>
      </c>
      <c r="I8" s="15" t="s">
        <v>12</v>
      </c>
      <c r="J8" s="98" t="s">
        <v>581</v>
      </c>
      <c r="K8" s="99"/>
      <c r="L8" s="15" t="s">
        <v>11</v>
      </c>
      <c r="M8" s="15" t="s">
        <v>12</v>
      </c>
      <c r="N8" s="98" t="s">
        <v>581</v>
      </c>
      <c r="O8" s="99"/>
      <c r="P8" s="15" t="s">
        <v>11</v>
      </c>
      <c r="Q8" s="15" t="s">
        <v>12</v>
      </c>
      <c r="R8" s="98" t="s">
        <v>581</v>
      </c>
      <c r="S8" s="99"/>
    </row>
    <row r="9" spans="1:19" x14ac:dyDescent="0.25">
      <c r="A9" s="115"/>
      <c r="B9" s="124"/>
      <c r="C9" s="124"/>
      <c r="D9" s="98" t="s">
        <v>13</v>
      </c>
      <c r="E9" s="123"/>
      <c r="F9" s="100"/>
      <c r="G9" s="100"/>
      <c r="H9" s="98" t="s">
        <v>13</v>
      </c>
      <c r="I9" s="98"/>
      <c r="J9" s="100"/>
      <c r="K9" s="100"/>
      <c r="L9" s="98" t="s">
        <v>13</v>
      </c>
      <c r="M9" s="98"/>
      <c r="N9" s="100"/>
      <c r="O9" s="100"/>
      <c r="P9" s="98" t="s">
        <v>13</v>
      </c>
      <c r="Q9" s="98"/>
      <c r="R9" s="100"/>
      <c r="S9" s="100"/>
    </row>
    <row r="10" spans="1:19" x14ac:dyDescent="0.25">
      <c r="A10" s="4" t="s">
        <v>17</v>
      </c>
      <c r="B10" s="53" t="s">
        <v>87</v>
      </c>
      <c r="C10" s="4" t="s">
        <v>126</v>
      </c>
      <c r="D10" s="36">
        <v>159194710</v>
      </c>
      <c r="E10" s="82">
        <v>167864323</v>
      </c>
      <c r="F10" s="36">
        <v>90212346</v>
      </c>
      <c r="G10" s="68">
        <f>+F10/E10</f>
        <v>0.53741226478481674</v>
      </c>
      <c r="H10" s="36">
        <v>0</v>
      </c>
      <c r="I10" s="36">
        <v>0</v>
      </c>
      <c r="J10" s="36">
        <v>0</v>
      </c>
      <c r="K10" s="69"/>
      <c r="L10" s="36">
        <v>0</v>
      </c>
      <c r="M10" s="36">
        <v>0</v>
      </c>
      <c r="N10" s="36">
        <v>0</v>
      </c>
      <c r="O10" s="72"/>
      <c r="P10" s="36">
        <f>+D10+H10+L10</f>
        <v>159194710</v>
      </c>
      <c r="Q10" s="36">
        <f>+E10+I10+M10</f>
        <v>167864323</v>
      </c>
      <c r="R10" s="36">
        <f>+F10+J10+N10</f>
        <v>90212346</v>
      </c>
      <c r="S10" s="71">
        <f>+R10/Q10</f>
        <v>0.53741226478481674</v>
      </c>
    </row>
    <row r="11" spans="1:19" ht="30" x14ac:dyDescent="0.25">
      <c r="A11" s="4" t="s">
        <v>18</v>
      </c>
      <c r="B11" s="53" t="s">
        <v>88</v>
      </c>
      <c r="C11" s="4" t="s">
        <v>127</v>
      </c>
      <c r="D11" s="36">
        <v>219532742</v>
      </c>
      <c r="E11" s="36">
        <v>222056342</v>
      </c>
      <c r="F11" s="36">
        <v>116257864</v>
      </c>
      <c r="G11" s="68">
        <f t="shared" ref="G11:G18" si="0">+F11/E11</f>
        <v>0.52355119855122179</v>
      </c>
      <c r="H11" s="36">
        <v>0</v>
      </c>
      <c r="I11" s="36">
        <v>0</v>
      </c>
      <c r="J11" s="36">
        <v>0</v>
      </c>
      <c r="K11" s="69"/>
      <c r="L11" s="36">
        <v>0</v>
      </c>
      <c r="M11" s="36">
        <v>0</v>
      </c>
      <c r="N11" s="36">
        <v>0</v>
      </c>
      <c r="O11" s="72"/>
      <c r="P11" s="36">
        <f t="shared" ref="P11:P64" si="1">+D11+H11+L11</f>
        <v>219532742</v>
      </c>
      <c r="Q11" s="36">
        <f t="shared" ref="Q11:Q64" si="2">+E11+I11+M11</f>
        <v>222056342</v>
      </c>
      <c r="R11" s="36">
        <f t="shared" ref="R11:R64" si="3">+F11+J11+N11</f>
        <v>116257864</v>
      </c>
      <c r="S11" s="71">
        <f t="shared" ref="S11:S15" si="4">+R11/Q11</f>
        <v>0.52355119855122179</v>
      </c>
    </row>
    <row r="12" spans="1:19" ht="30" x14ac:dyDescent="0.25">
      <c r="A12" s="4" t="s">
        <v>19</v>
      </c>
      <c r="B12" s="53" t="s">
        <v>89</v>
      </c>
      <c r="C12" s="4" t="s">
        <v>131</v>
      </c>
      <c r="D12" s="36">
        <v>97351200</v>
      </c>
      <c r="E12" s="36">
        <v>97591200</v>
      </c>
      <c r="F12" s="36">
        <v>52152034</v>
      </c>
      <c r="G12" s="68">
        <f t="shared" si="0"/>
        <v>0.53439279361253889</v>
      </c>
      <c r="H12" s="36">
        <v>0</v>
      </c>
      <c r="I12" s="36">
        <v>0</v>
      </c>
      <c r="J12" s="36">
        <v>0</v>
      </c>
      <c r="K12" s="69"/>
      <c r="L12" s="36">
        <v>0</v>
      </c>
      <c r="M12" s="36">
        <v>0</v>
      </c>
      <c r="N12" s="36">
        <v>0</v>
      </c>
      <c r="O12" s="72"/>
      <c r="P12" s="36">
        <f t="shared" si="1"/>
        <v>97351200</v>
      </c>
      <c r="Q12" s="36">
        <f t="shared" si="2"/>
        <v>97591200</v>
      </c>
      <c r="R12" s="36">
        <f t="shared" si="3"/>
        <v>52152034</v>
      </c>
      <c r="S12" s="71">
        <f t="shared" si="4"/>
        <v>0.53439279361253889</v>
      </c>
    </row>
    <row r="13" spans="1:19" ht="30" x14ac:dyDescent="0.25">
      <c r="A13" s="4" t="s">
        <v>20</v>
      </c>
      <c r="B13" s="53" t="s">
        <v>133</v>
      </c>
      <c r="C13" s="4" t="s">
        <v>132</v>
      </c>
      <c r="D13" s="36">
        <v>52725893</v>
      </c>
      <c r="E13" s="36">
        <v>52725893</v>
      </c>
      <c r="F13" s="36">
        <v>27417462</v>
      </c>
      <c r="G13" s="68">
        <f t="shared" si="0"/>
        <v>0.51999995524020803</v>
      </c>
      <c r="H13" s="36">
        <v>0</v>
      </c>
      <c r="I13" s="36">
        <v>0</v>
      </c>
      <c r="J13" s="36">
        <v>0</v>
      </c>
      <c r="K13" s="69"/>
      <c r="L13" s="36">
        <v>0</v>
      </c>
      <c r="M13" s="36">
        <v>0</v>
      </c>
      <c r="N13" s="36">
        <v>0</v>
      </c>
      <c r="O13" s="72"/>
      <c r="P13" s="36">
        <f t="shared" si="1"/>
        <v>52725893</v>
      </c>
      <c r="Q13" s="36">
        <f t="shared" si="2"/>
        <v>52725893</v>
      </c>
      <c r="R13" s="36">
        <f t="shared" si="3"/>
        <v>27417462</v>
      </c>
      <c r="S13" s="71">
        <f t="shared" si="4"/>
        <v>0.51999995524020803</v>
      </c>
    </row>
    <row r="14" spans="1:19" x14ac:dyDescent="0.25">
      <c r="A14" s="4" t="s">
        <v>21</v>
      </c>
      <c r="B14" s="53" t="s">
        <v>90</v>
      </c>
      <c r="C14" s="4" t="s">
        <v>128</v>
      </c>
      <c r="D14" s="36">
        <v>9648680</v>
      </c>
      <c r="E14" s="36">
        <v>13452500</v>
      </c>
      <c r="F14" s="36">
        <v>6995300</v>
      </c>
      <c r="G14" s="68">
        <f t="shared" si="0"/>
        <v>0.52</v>
      </c>
      <c r="H14" s="36">
        <v>0</v>
      </c>
      <c r="I14" s="36">
        <v>0</v>
      </c>
      <c r="J14" s="36">
        <v>0</v>
      </c>
      <c r="K14" s="69"/>
      <c r="L14" s="36">
        <v>0</v>
      </c>
      <c r="M14" s="36">
        <v>0</v>
      </c>
      <c r="N14" s="36">
        <v>0</v>
      </c>
      <c r="O14" s="72"/>
      <c r="P14" s="36">
        <f t="shared" si="1"/>
        <v>9648680</v>
      </c>
      <c r="Q14" s="36">
        <f t="shared" si="2"/>
        <v>13452500</v>
      </c>
      <c r="R14" s="36">
        <f t="shared" si="3"/>
        <v>6995300</v>
      </c>
      <c r="S14" s="71">
        <f t="shared" si="4"/>
        <v>0.52</v>
      </c>
    </row>
    <row r="15" spans="1:19" ht="30" x14ac:dyDescent="0.25">
      <c r="A15" s="4" t="s">
        <v>22</v>
      </c>
      <c r="B15" s="53" t="s">
        <v>91</v>
      </c>
      <c r="C15" s="4" t="s">
        <v>129</v>
      </c>
      <c r="D15" s="36">
        <v>1000000</v>
      </c>
      <c r="E15" s="36">
        <v>1000000</v>
      </c>
      <c r="F15" s="36">
        <v>1144509</v>
      </c>
      <c r="G15" s="68">
        <f t="shared" si="0"/>
        <v>1.144509</v>
      </c>
      <c r="H15" s="36">
        <v>0</v>
      </c>
      <c r="I15" s="36">
        <v>0</v>
      </c>
      <c r="J15" s="36">
        <v>0</v>
      </c>
      <c r="K15" s="69"/>
      <c r="L15" s="36">
        <v>0</v>
      </c>
      <c r="M15" s="36">
        <v>0</v>
      </c>
      <c r="N15" s="36">
        <v>0</v>
      </c>
      <c r="O15" s="72"/>
      <c r="P15" s="36">
        <f t="shared" si="1"/>
        <v>1000000</v>
      </c>
      <c r="Q15" s="36">
        <f t="shared" si="2"/>
        <v>1000000</v>
      </c>
      <c r="R15" s="36">
        <f t="shared" si="3"/>
        <v>1144509</v>
      </c>
      <c r="S15" s="71">
        <f t="shared" si="4"/>
        <v>1.144509</v>
      </c>
    </row>
    <row r="16" spans="1:19" x14ac:dyDescent="0.25">
      <c r="A16" s="4" t="s">
        <v>23</v>
      </c>
      <c r="B16" s="53" t="s">
        <v>92</v>
      </c>
      <c r="C16" s="4" t="s">
        <v>130</v>
      </c>
      <c r="D16" s="36">
        <v>0</v>
      </c>
      <c r="E16" s="36">
        <v>0</v>
      </c>
      <c r="F16" s="36">
        <v>0</v>
      </c>
      <c r="G16" s="68"/>
      <c r="H16" s="36">
        <v>0</v>
      </c>
      <c r="I16" s="36">
        <v>0</v>
      </c>
      <c r="J16" s="36">
        <v>0</v>
      </c>
      <c r="K16" s="69"/>
      <c r="L16" s="36">
        <v>0</v>
      </c>
      <c r="M16" s="36">
        <v>0</v>
      </c>
      <c r="N16" s="36">
        <v>0</v>
      </c>
      <c r="O16" s="72"/>
      <c r="P16" s="36">
        <f t="shared" si="1"/>
        <v>0</v>
      </c>
      <c r="Q16" s="36">
        <f t="shared" si="2"/>
        <v>0</v>
      </c>
      <c r="R16" s="36">
        <f t="shared" si="3"/>
        <v>0</v>
      </c>
      <c r="S16" s="72"/>
    </row>
    <row r="17" spans="1:19" x14ac:dyDescent="0.25">
      <c r="A17" s="4" t="s">
        <v>24</v>
      </c>
      <c r="B17" s="30" t="s">
        <v>134</v>
      </c>
      <c r="C17" s="24" t="s">
        <v>193</v>
      </c>
      <c r="D17" s="37">
        <f>SUM(D10:D16)</f>
        <v>539453225</v>
      </c>
      <c r="E17" s="37">
        <f t="shared" ref="E17:Q17" si="5">SUM(E10:E16)</f>
        <v>554690258</v>
      </c>
      <c r="F17" s="37">
        <f t="shared" si="5"/>
        <v>294179515</v>
      </c>
      <c r="G17" s="66">
        <f>+F17/E17</f>
        <v>0.53034916470445748</v>
      </c>
      <c r="H17" s="37">
        <f t="shared" si="5"/>
        <v>0</v>
      </c>
      <c r="I17" s="37">
        <f t="shared" si="5"/>
        <v>0</v>
      </c>
      <c r="J17" s="37">
        <f t="shared" si="5"/>
        <v>0</v>
      </c>
      <c r="K17" s="70"/>
      <c r="L17" s="37">
        <f t="shared" si="5"/>
        <v>0</v>
      </c>
      <c r="M17" s="37">
        <f t="shared" si="5"/>
        <v>0</v>
      </c>
      <c r="N17" s="37">
        <f t="shared" si="5"/>
        <v>0</v>
      </c>
      <c r="O17" s="37"/>
      <c r="P17" s="37">
        <f t="shared" si="5"/>
        <v>539453225</v>
      </c>
      <c r="Q17" s="37">
        <f t="shared" si="5"/>
        <v>554690258</v>
      </c>
      <c r="R17" s="37">
        <f t="shared" ref="R17" si="6">SUM(R10:R16)</f>
        <v>294179515</v>
      </c>
      <c r="S17" s="64">
        <f>+R17/Q17</f>
        <v>0.53034916470445748</v>
      </c>
    </row>
    <row r="18" spans="1:19" x14ac:dyDescent="0.25">
      <c r="A18" s="4" t="s">
        <v>25</v>
      </c>
      <c r="B18" s="6" t="s">
        <v>93</v>
      </c>
      <c r="C18" s="4" t="s">
        <v>135</v>
      </c>
      <c r="D18" s="36">
        <v>0</v>
      </c>
      <c r="E18" s="36">
        <v>19044138</v>
      </c>
      <c r="F18" s="36">
        <v>19044138</v>
      </c>
      <c r="G18" s="68">
        <f t="shared" si="0"/>
        <v>1</v>
      </c>
      <c r="H18" s="36">
        <v>0</v>
      </c>
      <c r="I18" s="36">
        <v>0</v>
      </c>
      <c r="J18" s="36">
        <v>0</v>
      </c>
      <c r="K18" s="69"/>
      <c r="L18" s="36">
        <v>0</v>
      </c>
      <c r="M18" s="36">
        <v>0</v>
      </c>
      <c r="N18" s="36">
        <v>0</v>
      </c>
      <c r="O18" s="72"/>
      <c r="P18" s="36">
        <f t="shared" si="1"/>
        <v>0</v>
      </c>
      <c r="Q18" s="36">
        <f t="shared" si="2"/>
        <v>19044138</v>
      </c>
      <c r="R18" s="36">
        <f t="shared" si="3"/>
        <v>19044138</v>
      </c>
      <c r="S18" s="71">
        <f t="shared" ref="S18" si="7">+R18/Q18</f>
        <v>1</v>
      </c>
    </row>
    <row r="19" spans="1:19" ht="30" x14ac:dyDescent="0.25">
      <c r="A19" s="4" t="s">
        <v>26</v>
      </c>
      <c r="B19" s="6" t="s">
        <v>94</v>
      </c>
      <c r="C19" s="4" t="s">
        <v>136</v>
      </c>
      <c r="D19" s="36">
        <v>0</v>
      </c>
      <c r="E19" s="36">
        <v>0</v>
      </c>
      <c r="F19" s="36">
        <v>0</v>
      </c>
      <c r="G19" s="69"/>
      <c r="H19" s="36">
        <v>0</v>
      </c>
      <c r="I19" s="36">
        <v>0</v>
      </c>
      <c r="J19" s="36">
        <v>0</v>
      </c>
      <c r="K19" s="69"/>
      <c r="L19" s="36">
        <v>0</v>
      </c>
      <c r="M19" s="36">
        <v>0</v>
      </c>
      <c r="N19" s="36">
        <v>0</v>
      </c>
      <c r="O19" s="72"/>
      <c r="P19" s="36">
        <f t="shared" si="1"/>
        <v>0</v>
      </c>
      <c r="Q19" s="36">
        <f t="shared" si="2"/>
        <v>0</v>
      </c>
      <c r="R19" s="36">
        <f t="shared" si="3"/>
        <v>0</v>
      </c>
      <c r="S19" s="72"/>
    </row>
    <row r="20" spans="1:19" ht="30" x14ac:dyDescent="0.25">
      <c r="A20" s="4" t="s">
        <v>27</v>
      </c>
      <c r="B20" s="6" t="s">
        <v>95</v>
      </c>
      <c r="C20" s="4" t="s">
        <v>137</v>
      </c>
      <c r="D20" s="36">
        <v>0</v>
      </c>
      <c r="E20" s="36">
        <v>0</v>
      </c>
      <c r="F20" s="36">
        <v>0</v>
      </c>
      <c r="G20" s="69"/>
      <c r="H20" s="36">
        <v>0</v>
      </c>
      <c r="I20" s="36">
        <v>0</v>
      </c>
      <c r="J20" s="36">
        <v>0</v>
      </c>
      <c r="K20" s="69"/>
      <c r="L20" s="36">
        <v>0</v>
      </c>
      <c r="M20" s="36">
        <v>0</v>
      </c>
      <c r="N20" s="36">
        <v>0</v>
      </c>
      <c r="O20" s="72"/>
      <c r="P20" s="36">
        <f t="shared" si="1"/>
        <v>0</v>
      </c>
      <c r="Q20" s="36">
        <f t="shared" si="2"/>
        <v>0</v>
      </c>
      <c r="R20" s="36">
        <f t="shared" si="3"/>
        <v>0</v>
      </c>
      <c r="S20" s="72"/>
    </row>
    <row r="21" spans="1:19" ht="30" x14ac:dyDescent="0.25">
      <c r="A21" s="4" t="s">
        <v>28</v>
      </c>
      <c r="B21" s="6" t="s">
        <v>547</v>
      </c>
      <c r="C21" s="4" t="s">
        <v>138</v>
      </c>
      <c r="D21" s="36">
        <v>0</v>
      </c>
      <c r="E21" s="36">
        <v>0</v>
      </c>
      <c r="F21" s="36">
        <v>0</v>
      </c>
      <c r="G21" s="69"/>
      <c r="H21" s="36">
        <v>0</v>
      </c>
      <c r="I21" s="36">
        <v>0</v>
      </c>
      <c r="J21" s="36">
        <v>0</v>
      </c>
      <c r="K21" s="69"/>
      <c r="L21" s="36">
        <v>0</v>
      </c>
      <c r="M21" s="36">
        <v>0</v>
      </c>
      <c r="N21" s="36">
        <v>0</v>
      </c>
      <c r="O21" s="72"/>
      <c r="P21" s="36">
        <f t="shared" si="1"/>
        <v>0</v>
      </c>
      <c r="Q21" s="36">
        <f t="shared" si="2"/>
        <v>0</v>
      </c>
      <c r="R21" s="36">
        <f t="shared" si="3"/>
        <v>0</v>
      </c>
      <c r="S21" s="72"/>
    </row>
    <row r="22" spans="1:19" ht="30" x14ac:dyDescent="0.25">
      <c r="A22" s="4" t="s">
        <v>29</v>
      </c>
      <c r="B22" s="6" t="s">
        <v>96</v>
      </c>
      <c r="C22" s="4" t="s">
        <v>139</v>
      </c>
      <c r="D22" s="36">
        <f>19680000+1499995+6964285+627948+19777299</f>
        <v>48549527</v>
      </c>
      <c r="E22" s="36">
        <v>48549527</v>
      </c>
      <c r="F22" s="36">
        <v>37707632</v>
      </c>
      <c r="G22" s="68">
        <f t="shared" ref="G22" si="8">+F22/E22</f>
        <v>0.77668381815542709</v>
      </c>
      <c r="H22" s="36">
        <v>0</v>
      </c>
      <c r="I22" s="36">
        <v>4853708</v>
      </c>
      <c r="J22" s="36">
        <v>4349924</v>
      </c>
      <c r="K22" s="68">
        <f>+J22/I22</f>
        <v>0.89620636428891065</v>
      </c>
      <c r="L22" s="36">
        <v>0</v>
      </c>
      <c r="M22" s="36">
        <v>0</v>
      </c>
      <c r="N22" s="36">
        <v>0</v>
      </c>
      <c r="O22" s="72"/>
      <c r="P22" s="36">
        <f t="shared" si="1"/>
        <v>48549527</v>
      </c>
      <c r="Q22" s="36">
        <f t="shared" si="2"/>
        <v>53403235</v>
      </c>
      <c r="R22" s="36">
        <f t="shared" si="3"/>
        <v>42057556</v>
      </c>
      <c r="S22" s="71">
        <f t="shared" ref="S22" si="9">+R22/Q22</f>
        <v>0.7875469716394522</v>
      </c>
    </row>
    <row r="23" spans="1:19" ht="30" x14ac:dyDescent="0.25">
      <c r="A23" s="4" t="s">
        <v>30</v>
      </c>
      <c r="B23" s="30" t="s">
        <v>146</v>
      </c>
      <c r="C23" s="24" t="s">
        <v>194</v>
      </c>
      <c r="D23" s="37">
        <f>SUM(D18:D22)</f>
        <v>48549527</v>
      </c>
      <c r="E23" s="37">
        <f t="shared" ref="E23:Q23" si="10">SUM(E18:E22)</f>
        <v>67593665</v>
      </c>
      <c r="F23" s="37">
        <f t="shared" si="10"/>
        <v>56751770</v>
      </c>
      <c r="G23" s="66">
        <f>+F23/E23</f>
        <v>0.8396019064804372</v>
      </c>
      <c r="H23" s="37">
        <f t="shared" si="10"/>
        <v>0</v>
      </c>
      <c r="I23" s="37">
        <f t="shared" si="10"/>
        <v>4853708</v>
      </c>
      <c r="J23" s="37">
        <f t="shared" si="10"/>
        <v>4349924</v>
      </c>
      <c r="K23" s="66">
        <f>+J23/I23</f>
        <v>0.89620636428891065</v>
      </c>
      <c r="L23" s="37">
        <f t="shared" si="10"/>
        <v>0</v>
      </c>
      <c r="M23" s="37">
        <f t="shared" si="10"/>
        <v>0</v>
      </c>
      <c r="N23" s="37">
        <f t="shared" si="10"/>
        <v>0</v>
      </c>
      <c r="O23" s="37"/>
      <c r="P23" s="37">
        <f t="shared" si="10"/>
        <v>48549527</v>
      </c>
      <c r="Q23" s="37">
        <f t="shared" si="10"/>
        <v>72447373</v>
      </c>
      <c r="R23" s="37">
        <f t="shared" ref="R23" si="11">SUM(R18:R22)</f>
        <v>61101694</v>
      </c>
      <c r="S23" s="64">
        <f>+R23/Q23</f>
        <v>0.84339419732997079</v>
      </c>
    </row>
    <row r="24" spans="1:19" x14ac:dyDescent="0.25">
      <c r="A24" s="4" t="s">
        <v>31</v>
      </c>
      <c r="B24" s="6" t="s">
        <v>97</v>
      </c>
      <c r="C24" s="4" t="s">
        <v>140</v>
      </c>
      <c r="D24" s="36">
        <v>0</v>
      </c>
      <c r="E24" s="36">
        <v>0</v>
      </c>
      <c r="F24" s="36">
        <v>0</v>
      </c>
      <c r="G24" s="69"/>
      <c r="H24" s="36">
        <v>0</v>
      </c>
      <c r="I24" s="36">
        <v>0</v>
      </c>
      <c r="J24" s="36">
        <v>0</v>
      </c>
      <c r="K24" s="69"/>
      <c r="L24" s="36">
        <v>0</v>
      </c>
      <c r="M24" s="36">
        <v>0</v>
      </c>
      <c r="N24" s="36">
        <v>0</v>
      </c>
      <c r="O24" s="72"/>
      <c r="P24" s="36">
        <f t="shared" si="1"/>
        <v>0</v>
      </c>
      <c r="Q24" s="36">
        <f t="shared" si="2"/>
        <v>0</v>
      </c>
      <c r="R24" s="36">
        <f t="shared" si="3"/>
        <v>0</v>
      </c>
      <c r="S24" s="72"/>
    </row>
    <row r="25" spans="1:19" ht="30" x14ac:dyDescent="0.25">
      <c r="A25" s="4" t="s">
        <v>32</v>
      </c>
      <c r="B25" s="6" t="s">
        <v>98</v>
      </c>
      <c r="C25" s="4" t="s">
        <v>141</v>
      </c>
      <c r="D25" s="36">
        <v>0</v>
      </c>
      <c r="E25" s="36">
        <v>0</v>
      </c>
      <c r="F25" s="36">
        <v>0</v>
      </c>
      <c r="G25" s="69"/>
      <c r="H25" s="36">
        <v>0</v>
      </c>
      <c r="I25" s="36">
        <v>0</v>
      </c>
      <c r="J25" s="36">
        <v>0</v>
      </c>
      <c r="K25" s="69"/>
      <c r="L25" s="36">
        <v>0</v>
      </c>
      <c r="M25" s="36">
        <v>0</v>
      </c>
      <c r="N25" s="36">
        <v>0</v>
      </c>
      <c r="O25" s="72"/>
      <c r="P25" s="36">
        <f t="shared" si="1"/>
        <v>0</v>
      </c>
      <c r="Q25" s="36">
        <f t="shared" si="2"/>
        <v>0</v>
      </c>
      <c r="R25" s="36">
        <f t="shared" si="3"/>
        <v>0</v>
      </c>
      <c r="S25" s="72"/>
    </row>
    <row r="26" spans="1:19" ht="30" x14ac:dyDescent="0.25">
      <c r="A26" s="4" t="s">
        <v>33</v>
      </c>
      <c r="B26" s="6" t="s">
        <v>99</v>
      </c>
      <c r="C26" s="4" t="s">
        <v>142</v>
      </c>
      <c r="D26" s="36">
        <v>0</v>
      </c>
      <c r="E26" s="36">
        <v>0</v>
      </c>
      <c r="F26" s="36">
        <v>0</v>
      </c>
      <c r="G26" s="69"/>
      <c r="H26" s="36">
        <v>0</v>
      </c>
      <c r="I26" s="36">
        <v>0</v>
      </c>
      <c r="J26" s="36">
        <v>0</v>
      </c>
      <c r="K26" s="69"/>
      <c r="L26" s="36">
        <v>0</v>
      </c>
      <c r="M26" s="36">
        <v>0</v>
      </c>
      <c r="N26" s="36">
        <v>0</v>
      </c>
      <c r="O26" s="72"/>
      <c r="P26" s="36">
        <f t="shared" si="1"/>
        <v>0</v>
      </c>
      <c r="Q26" s="36">
        <f t="shared" si="2"/>
        <v>0</v>
      </c>
      <c r="R26" s="36">
        <f t="shared" si="3"/>
        <v>0</v>
      </c>
      <c r="S26" s="72"/>
    </row>
    <row r="27" spans="1:19" ht="30" x14ac:dyDescent="0.25">
      <c r="A27" s="4" t="s">
        <v>34</v>
      </c>
      <c r="B27" s="6" t="s">
        <v>100</v>
      </c>
      <c r="C27" s="4" t="s">
        <v>143</v>
      </c>
      <c r="D27" s="36">
        <v>0</v>
      </c>
      <c r="E27" s="36">
        <v>0</v>
      </c>
      <c r="F27" s="36">
        <v>0</v>
      </c>
      <c r="G27" s="69"/>
      <c r="H27" s="36">
        <v>0</v>
      </c>
      <c r="I27" s="36">
        <v>0</v>
      </c>
      <c r="J27" s="36">
        <v>0</v>
      </c>
      <c r="K27" s="69"/>
      <c r="L27" s="36">
        <v>0</v>
      </c>
      <c r="M27" s="36">
        <v>0</v>
      </c>
      <c r="N27" s="36">
        <v>0</v>
      </c>
      <c r="O27" s="72"/>
      <c r="P27" s="36">
        <f t="shared" si="1"/>
        <v>0</v>
      </c>
      <c r="Q27" s="36">
        <f t="shared" si="2"/>
        <v>0</v>
      </c>
      <c r="R27" s="36">
        <f t="shared" si="3"/>
        <v>0</v>
      </c>
      <c r="S27" s="72"/>
    </row>
    <row r="28" spans="1:19" ht="30" x14ac:dyDescent="0.25">
      <c r="A28" s="4" t="s">
        <v>35</v>
      </c>
      <c r="B28" s="6" t="s">
        <v>101</v>
      </c>
      <c r="C28" s="4" t="s">
        <v>144</v>
      </c>
      <c r="D28" s="36">
        <v>520045733</v>
      </c>
      <c r="E28" s="36">
        <v>513995733</v>
      </c>
      <c r="F28" s="36">
        <v>22998834</v>
      </c>
      <c r="G28" s="68">
        <f t="shared" ref="G28:G32" si="12">+F28/E28</f>
        <v>4.4745184684247173E-2</v>
      </c>
      <c r="H28" s="36">
        <v>0</v>
      </c>
      <c r="I28" s="36">
        <v>0</v>
      </c>
      <c r="J28" s="36">
        <v>0</v>
      </c>
      <c r="K28" s="69"/>
      <c r="L28" s="36">
        <v>0</v>
      </c>
      <c r="M28" s="36">
        <v>0</v>
      </c>
      <c r="N28" s="36">
        <v>0</v>
      </c>
      <c r="O28" s="72"/>
      <c r="P28" s="36">
        <f t="shared" si="1"/>
        <v>520045733</v>
      </c>
      <c r="Q28" s="36">
        <f t="shared" si="2"/>
        <v>513995733</v>
      </c>
      <c r="R28" s="36">
        <f t="shared" si="3"/>
        <v>22998834</v>
      </c>
      <c r="S28" s="71">
        <f t="shared" ref="S28" si="13">+R28/Q28</f>
        <v>4.4745184684247173E-2</v>
      </c>
    </row>
    <row r="29" spans="1:19" ht="30" x14ac:dyDescent="0.25">
      <c r="A29" s="4" t="s">
        <v>36</v>
      </c>
      <c r="B29" s="30" t="s">
        <v>145</v>
      </c>
      <c r="C29" s="24" t="s">
        <v>164</v>
      </c>
      <c r="D29" s="37">
        <f>SUM(D24:D28)</f>
        <v>520045733</v>
      </c>
      <c r="E29" s="37">
        <f t="shared" ref="E29:Q29" si="14">SUM(E24:E28)</f>
        <v>513995733</v>
      </c>
      <c r="F29" s="37">
        <f t="shared" si="14"/>
        <v>22998834</v>
      </c>
      <c r="G29" s="66">
        <f>+F29/E29</f>
        <v>4.4745184684247173E-2</v>
      </c>
      <c r="H29" s="37">
        <f t="shared" si="14"/>
        <v>0</v>
      </c>
      <c r="I29" s="37">
        <f t="shared" si="14"/>
        <v>0</v>
      </c>
      <c r="J29" s="37">
        <f t="shared" si="14"/>
        <v>0</v>
      </c>
      <c r="K29" s="70"/>
      <c r="L29" s="37">
        <f t="shared" si="14"/>
        <v>0</v>
      </c>
      <c r="M29" s="37">
        <f t="shared" si="14"/>
        <v>0</v>
      </c>
      <c r="N29" s="37">
        <f t="shared" si="14"/>
        <v>0</v>
      </c>
      <c r="O29" s="37"/>
      <c r="P29" s="37">
        <f t="shared" si="14"/>
        <v>520045733</v>
      </c>
      <c r="Q29" s="37">
        <f t="shared" si="14"/>
        <v>513995733</v>
      </c>
      <c r="R29" s="37">
        <f t="shared" ref="R29" si="15">SUM(R24:R28)</f>
        <v>22998834</v>
      </c>
      <c r="S29" s="64">
        <f>+R29/Q29</f>
        <v>4.4745184684247173E-2</v>
      </c>
    </row>
    <row r="30" spans="1:19" x14ac:dyDescent="0.25">
      <c r="A30" s="4" t="s">
        <v>37</v>
      </c>
      <c r="B30" s="53" t="s">
        <v>102</v>
      </c>
      <c r="C30" s="4" t="s">
        <v>148</v>
      </c>
      <c r="D30" s="36">
        <v>15000000</v>
      </c>
      <c r="E30" s="36">
        <v>15000000</v>
      </c>
      <c r="F30" s="36">
        <v>5121686</v>
      </c>
      <c r="G30" s="68">
        <f t="shared" si="12"/>
        <v>0.34144573333333333</v>
      </c>
      <c r="H30" s="36">
        <v>0</v>
      </c>
      <c r="I30" s="36">
        <v>0</v>
      </c>
      <c r="J30" s="36">
        <v>0</v>
      </c>
      <c r="K30" s="69"/>
      <c r="L30" s="36">
        <v>0</v>
      </c>
      <c r="M30" s="36">
        <v>0</v>
      </c>
      <c r="N30" s="36">
        <v>0</v>
      </c>
      <c r="O30" s="72"/>
      <c r="P30" s="36">
        <f t="shared" si="1"/>
        <v>15000000</v>
      </c>
      <c r="Q30" s="36">
        <f t="shared" si="2"/>
        <v>15000000</v>
      </c>
      <c r="R30" s="36">
        <f t="shared" si="3"/>
        <v>5121686</v>
      </c>
      <c r="S30" s="71">
        <f t="shared" ref="S30:S32" si="16">+R30/Q30</f>
        <v>0.34144573333333333</v>
      </c>
    </row>
    <row r="31" spans="1:19" x14ac:dyDescent="0.25">
      <c r="A31" s="4" t="s">
        <v>38</v>
      </c>
      <c r="B31" s="53" t="s">
        <v>103</v>
      </c>
      <c r="C31" s="4" t="s">
        <v>149</v>
      </c>
      <c r="D31" s="36">
        <v>172000000</v>
      </c>
      <c r="E31" s="36">
        <v>172000000</v>
      </c>
      <c r="F31" s="36">
        <v>86534910</v>
      </c>
      <c r="G31" s="68">
        <f t="shared" si="12"/>
        <v>0.50310994186046509</v>
      </c>
      <c r="H31" s="36">
        <v>0</v>
      </c>
      <c r="I31" s="36">
        <v>0</v>
      </c>
      <c r="J31" s="36">
        <v>0</v>
      </c>
      <c r="K31" s="69"/>
      <c r="L31" s="36">
        <v>0</v>
      </c>
      <c r="M31" s="36">
        <v>0</v>
      </c>
      <c r="N31" s="36">
        <v>0</v>
      </c>
      <c r="O31" s="72"/>
      <c r="P31" s="36">
        <f t="shared" si="1"/>
        <v>172000000</v>
      </c>
      <c r="Q31" s="36">
        <f t="shared" si="2"/>
        <v>172000000</v>
      </c>
      <c r="R31" s="36">
        <f t="shared" si="3"/>
        <v>86534910</v>
      </c>
      <c r="S31" s="71">
        <f t="shared" si="16"/>
        <v>0.50310994186046509</v>
      </c>
    </row>
    <row r="32" spans="1:19" x14ac:dyDescent="0.25">
      <c r="A32" s="4" t="s">
        <v>39</v>
      </c>
      <c r="B32" s="53" t="s">
        <v>104</v>
      </c>
      <c r="C32" s="4" t="s">
        <v>150</v>
      </c>
      <c r="D32" s="36">
        <v>1500000</v>
      </c>
      <c r="E32" s="36">
        <v>1500000</v>
      </c>
      <c r="F32" s="36">
        <v>2527067</v>
      </c>
      <c r="G32" s="68">
        <f t="shared" si="12"/>
        <v>1.6847113333333332</v>
      </c>
      <c r="H32" s="36">
        <v>0</v>
      </c>
      <c r="I32" s="36">
        <v>0</v>
      </c>
      <c r="J32" s="36">
        <v>0</v>
      </c>
      <c r="K32" s="69"/>
      <c r="L32" s="36">
        <v>0</v>
      </c>
      <c r="M32" s="36">
        <v>0</v>
      </c>
      <c r="N32" s="36">
        <v>0</v>
      </c>
      <c r="O32" s="72"/>
      <c r="P32" s="36">
        <f t="shared" si="1"/>
        <v>1500000</v>
      </c>
      <c r="Q32" s="36">
        <f t="shared" si="2"/>
        <v>1500000</v>
      </c>
      <c r="R32" s="36">
        <f t="shared" si="3"/>
        <v>2527067</v>
      </c>
      <c r="S32" s="71">
        <f t="shared" si="16"/>
        <v>1.6847113333333332</v>
      </c>
    </row>
    <row r="33" spans="1:19" x14ac:dyDescent="0.25">
      <c r="A33" s="4" t="s">
        <v>40</v>
      </c>
      <c r="B33" s="30" t="s">
        <v>147</v>
      </c>
      <c r="C33" s="24" t="s">
        <v>165</v>
      </c>
      <c r="D33" s="37">
        <f>SUM(D30:D32)</f>
        <v>188500000</v>
      </c>
      <c r="E33" s="37">
        <f t="shared" ref="E33:Q33" si="17">SUM(E30:E32)</f>
        <v>188500000</v>
      </c>
      <c r="F33" s="37">
        <f t="shared" si="17"/>
        <v>94183663</v>
      </c>
      <c r="G33" s="66">
        <f>+F33/E33</f>
        <v>0.49964807957559682</v>
      </c>
      <c r="H33" s="37">
        <f t="shared" si="17"/>
        <v>0</v>
      </c>
      <c r="I33" s="37">
        <f t="shared" si="17"/>
        <v>0</v>
      </c>
      <c r="J33" s="37">
        <f t="shared" si="17"/>
        <v>0</v>
      </c>
      <c r="K33" s="70"/>
      <c r="L33" s="37">
        <f t="shared" si="17"/>
        <v>0</v>
      </c>
      <c r="M33" s="37">
        <f t="shared" si="17"/>
        <v>0</v>
      </c>
      <c r="N33" s="37">
        <f t="shared" si="17"/>
        <v>0</v>
      </c>
      <c r="O33" s="37"/>
      <c r="P33" s="37">
        <f t="shared" si="17"/>
        <v>188500000</v>
      </c>
      <c r="Q33" s="37">
        <f t="shared" si="17"/>
        <v>188500000</v>
      </c>
      <c r="R33" s="37">
        <f t="shared" ref="R33" si="18">SUM(R30:R32)</f>
        <v>94183663</v>
      </c>
      <c r="S33" s="64">
        <f>+R33/Q33</f>
        <v>0.49964807957559682</v>
      </c>
    </row>
    <row r="34" spans="1:19" x14ac:dyDescent="0.25">
      <c r="A34" s="4" t="s">
        <v>41</v>
      </c>
      <c r="B34" s="5" t="s">
        <v>105</v>
      </c>
      <c r="C34" s="4" t="s">
        <v>151</v>
      </c>
      <c r="D34" s="36">
        <v>0</v>
      </c>
      <c r="E34" s="36">
        <v>0</v>
      </c>
      <c r="F34" s="36">
        <v>0</v>
      </c>
      <c r="G34" s="69"/>
      <c r="H34" s="36">
        <v>0</v>
      </c>
      <c r="I34" s="36">
        <v>0</v>
      </c>
      <c r="J34" s="36">
        <v>0</v>
      </c>
      <c r="K34" s="69"/>
      <c r="L34" s="36">
        <v>0</v>
      </c>
      <c r="M34" s="36">
        <v>0</v>
      </c>
      <c r="N34" s="36">
        <v>0</v>
      </c>
      <c r="O34" s="72"/>
      <c r="P34" s="36">
        <f t="shared" si="1"/>
        <v>0</v>
      </c>
      <c r="Q34" s="36">
        <f t="shared" si="2"/>
        <v>0</v>
      </c>
      <c r="R34" s="36">
        <f t="shared" si="3"/>
        <v>0</v>
      </c>
      <c r="S34" s="72"/>
    </row>
    <row r="35" spans="1:19" x14ac:dyDescent="0.25">
      <c r="A35" s="4" t="s">
        <v>42</v>
      </c>
      <c r="B35" s="5" t="s">
        <v>106</v>
      </c>
      <c r="C35" s="4" t="s">
        <v>152</v>
      </c>
      <c r="D35" s="36">
        <v>20000000</v>
      </c>
      <c r="E35" s="36">
        <v>20000000</v>
      </c>
      <c r="F35" s="36">
        <v>12274072</v>
      </c>
      <c r="G35" s="68">
        <f t="shared" ref="G35:G36" si="19">+F35/E35</f>
        <v>0.61370360000000002</v>
      </c>
      <c r="H35" s="36">
        <v>0</v>
      </c>
      <c r="I35" s="36">
        <v>0</v>
      </c>
      <c r="J35" s="36">
        <v>0</v>
      </c>
      <c r="K35" s="69"/>
      <c r="L35" s="36">
        <v>0</v>
      </c>
      <c r="M35" s="36">
        <v>0</v>
      </c>
      <c r="N35" s="36">
        <v>0</v>
      </c>
      <c r="O35" s="72"/>
      <c r="P35" s="36">
        <f t="shared" si="1"/>
        <v>20000000</v>
      </c>
      <c r="Q35" s="36">
        <f t="shared" si="2"/>
        <v>20000000</v>
      </c>
      <c r="R35" s="36">
        <f t="shared" si="3"/>
        <v>12274072</v>
      </c>
      <c r="S35" s="71">
        <f t="shared" ref="S35:S36" si="20">+R35/Q35</f>
        <v>0.61370360000000002</v>
      </c>
    </row>
    <row r="36" spans="1:19" x14ac:dyDescent="0.25">
      <c r="A36" s="4" t="s">
        <v>56</v>
      </c>
      <c r="B36" s="5" t="s">
        <v>107</v>
      </c>
      <c r="C36" s="4" t="s">
        <v>153</v>
      </c>
      <c r="D36" s="36">
        <v>4000000</v>
      </c>
      <c r="E36" s="36">
        <v>7000000</v>
      </c>
      <c r="F36" s="36">
        <v>3807655</v>
      </c>
      <c r="G36" s="68">
        <f t="shared" si="19"/>
        <v>0.54395071428571429</v>
      </c>
      <c r="H36" s="36">
        <v>0</v>
      </c>
      <c r="I36" s="36">
        <v>0</v>
      </c>
      <c r="J36" s="36">
        <v>0</v>
      </c>
      <c r="K36" s="69"/>
      <c r="L36" s="36">
        <v>0</v>
      </c>
      <c r="M36" s="36">
        <v>0</v>
      </c>
      <c r="N36" s="36">
        <v>0</v>
      </c>
      <c r="O36" s="72"/>
      <c r="P36" s="36">
        <f t="shared" si="1"/>
        <v>4000000</v>
      </c>
      <c r="Q36" s="36">
        <f t="shared" si="2"/>
        <v>7000000</v>
      </c>
      <c r="R36" s="36">
        <f t="shared" si="3"/>
        <v>3807655</v>
      </c>
      <c r="S36" s="71">
        <f t="shared" si="20"/>
        <v>0.54395071428571429</v>
      </c>
    </row>
    <row r="37" spans="1:19" x14ac:dyDescent="0.25">
      <c r="A37" s="4" t="s">
        <v>57</v>
      </c>
      <c r="B37" s="5" t="s">
        <v>108</v>
      </c>
      <c r="C37" s="4" t="s">
        <v>154</v>
      </c>
      <c r="D37" s="36">
        <v>0</v>
      </c>
      <c r="E37" s="36">
        <v>0</v>
      </c>
      <c r="F37" s="36">
        <v>0</v>
      </c>
      <c r="G37" s="69"/>
      <c r="H37" s="36">
        <v>0</v>
      </c>
      <c r="I37" s="36">
        <v>0</v>
      </c>
      <c r="J37" s="36">
        <v>0</v>
      </c>
      <c r="K37" s="69"/>
      <c r="L37" s="36">
        <v>0</v>
      </c>
      <c r="M37" s="36">
        <v>0</v>
      </c>
      <c r="N37" s="36">
        <v>0</v>
      </c>
      <c r="O37" s="72"/>
      <c r="P37" s="36">
        <f t="shared" si="1"/>
        <v>0</v>
      </c>
      <c r="Q37" s="36">
        <f t="shared" si="2"/>
        <v>0</v>
      </c>
      <c r="R37" s="36">
        <f t="shared" si="3"/>
        <v>0</v>
      </c>
      <c r="S37" s="72"/>
    </row>
    <row r="38" spans="1:19" x14ac:dyDescent="0.25">
      <c r="A38" s="4" t="s">
        <v>58</v>
      </c>
      <c r="B38" s="5" t="s">
        <v>109</v>
      </c>
      <c r="C38" s="4" t="s">
        <v>155</v>
      </c>
      <c r="D38" s="36">
        <v>4898338</v>
      </c>
      <c r="E38" s="36">
        <v>4898338</v>
      </c>
      <c r="F38" s="36">
        <v>2663467</v>
      </c>
      <c r="G38" s="68">
        <f t="shared" ref="G38:G39" si="21">+F38/E38</f>
        <v>0.54374912470311354</v>
      </c>
      <c r="H38" s="36">
        <v>0</v>
      </c>
      <c r="I38" s="36">
        <v>0</v>
      </c>
      <c r="J38" s="36">
        <v>0</v>
      </c>
      <c r="K38" s="69"/>
      <c r="L38" s="36">
        <v>2923794</v>
      </c>
      <c r="M38" s="36">
        <v>2923794</v>
      </c>
      <c r="N38" s="36">
        <v>2090060</v>
      </c>
      <c r="O38" s="71">
        <f>+N38/M38</f>
        <v>0.71484516351015148</v>
      </c>
      <c r="P38" s="36">
        <f t="shared" si="1"/>
        <v>7822132</v>
      </c>
      <c r="Q38" s="36">
        <f t="shared" si="2"/>
        <v>7822132</v>
      </c>
      <c r="R38" s="36">
        <f t="shared" si="3"/>
        <v>4753527</v>
      </c>
      <c r="S38" s="71">
        <f t="shared" ref="S38:S39" si="22">+R38/Q38</f>
        <v>0.60770222236086013</v>
      </c>
    </row>
    <row r="39" spans="1:19" x14ac:dyDescent="0.25">
      <c r="A39" s="4" t="s">
        <v>59</v>
      </c>
      <c r="B39" s="5" t="s">
        <v>110</v>
      </c>
      <c r="C39" s="4" t="s">
        <v>156</v>
      </c>
      <c r="D39" s="36">
        <f>1322551+1000000</f>
        <v>2322551</v>
      </c>
      <c r="E39" s="36">
        <f>1322551+1000000</f>
        <v>2322551</v>
      </c>
      <c r="F39" s="36">
        <v>1903370</v>
      </c>
      <c r="G39" s="68">
        <f t="shared" si="21"/>
        <v>0.81951698800155515</v>
      </c>
      <c r="H39" s="36">
        <v>0</v>
      </c>
      <c r="I39" s="36">
        <v>0</v>
      </c>
      <c r="J39" s="36">
        <v>0</v>
      </c>
      <c r="K39" s="69"/>
      <c r="L39" s="36">
        <v>0</v>
      </c>
      <c r="M39" s="36">
        <v>0</v>
      </c>
      <c r="N39" s="36">
        <v>0</v>
      </c>
      <c r="O39" s="72"/>
      <c r="P39" s="36">
        <f t="shared" si="1"/>
        <v>2322551</v>
      </c>
      <c r="Q39" s="36">
        <f t="shared" si="2"/>
        <v>2322551</v>
      </c>
      <c r="R39" s="36">
        <f t="shared" si="3"/>
        <v>1903370</v>
      </c>
      <c r="S39" s="71">
        <f t="shared" si="22"/>
        <v>0.81951698800155515</v>
      </c>
    </row>
    <row r="40" spans="1:19" x14ac:dyDescent="0.25">
      <c r="A40" s="4" t="s">
        <v>60</v>
      </c>
      <c r="B40" s="5" t="s">
        <v>111</v>
      </c>
      <c r="C40" s="4" t="s">
        <v>157</v>
      </c>
      <c r="D40" s="36">
        <v>0</v>
      </c>
      <c r="E40" s="36">
        <v>0</v>
      </c>
      <c r="F40" s="36">
        <v>0</v>
      </c>
      <c r="G40" s="69"/>
      <c r="H40" s="36">
        <v>0</v>
      </c>
      <c r="I40" s="36">
        <v>0</v>
      </c>
      <c r="J40" s="36">
        <v>0</v>
      </c>
      <c r="K40" s="69"/>
      <c r="L40" s="36">
        <v>0</v>
      </c>
      <c r="M40" s="36">
        <v>0</v>
      </c>
      <c r="N40" s="36">
        <v>0</v>
      </c>
      <c r="O40" s="72"/>
      <c r="P40" s="36">
        <f t="shared" si="1"/>
        <v>0</v>
      </c>
      <c r="Q40" s="36">
        <f t="shared" si="2"/>
        <v>0</v>
      </c>
      <c r="R40" s="36">
        <f t="shared" si="3"/>
        <v>0</v>
      </c>
      <c r="S40" s="72"/>
    </row>
    <row r="41" spans="1:19" x14ac:dyDescent="0.25">
      <c r="A41" s="4" t="s">
        <v>61</v>
      </c>
      <c r="B41" s="5" t="s">
        <v>112</v>
      </c>
      <c r="C41" s="4" t="s">
        <v>159</v>
      </c>
      <c r="D41" s="36">
        <v>0</v>
      </c>
      <c r="E41" s="36">
        <v>0</v>
      </c>
      <c r="F41" s="36">
        <v>0</v>
      </c>
      <c r="G41" s="69"/>
      <c r="H41" s="36">
        <v>0</v>
      </c>
      <c r="I41" s="36">
        <v>0</v>
      </c>
      <c r="J41" s="36">
        <v>0</v>
      </c>
      <c r="K41" s="69"/>
      <c r="L41" s="36">
        <v>0</v>
      </c>
      <c r="M41" s="36">
        <v>0</v>
      </c>
      <c r="N41" s="36">
        <v>0</v>
      </c>
      <c r="O41" s="72"/>
      <c r="P41" s="36">
        <f t="shared" si="1"/>
        <v>0</v>
      </c>
      <c r="Q41" s="36">
        <f t="shared" si="2"/>
        <v>0</v>
      </c>
      <c r="R41" s="36">
        <f t="shared" si="3"/>
        <v>0</v>
      </c>
      <c r="S41" s="72"/>
    </row>
    <row r="42" spans="1:19" x14ac:dyDescent="0.25">
      <c r="A42" s="4" t="s">
        <v>62</v>
      </c>
      <c r="B42" s="5" t="s">
        <v>113</v>
      </c>
      <c r="C42" s="4" t="s">
        <v>158</v>
      </c>
      <c r="D42" s="36">
        <v>20000</v>
      </c>
      <c r="E42" s="36">
        <v>20000</v>
      </c>
      <c r="F42" s="36">
        <v>9884</v>
      </c>
      <c r="G42" s="68">
        <f t="shared" ref="G42" si="23">+F42/E42</f>
        <v>0.49419999999999997</v>
      </c>
      <c r="H42" s="36">
        <v>200</v>
      </c>
      <c r="I42" s="36">
        <v>200</v>
      </c>
      <c r="J42" s="36">
        <v>165</v>
      </c>
      <c r="K42" s="68">
        <f>+J42/I42</f>
        <v>0.82499999999999996</v>
      </c>
      <c r="L42" s="36">
        <v>200</v>
      </c>
      <c r="M42" s="36">
        <v>200</v>
      </c>
      <c r="N42" s="36">
        <v>146</v>
      </c>
      <c r="O42" s="71">
        <f>+N42/M42</f>
        <v>0.73</v>
      </c>
      <c r="P42" s="36">
        <f t="shared" si="1"/>
        <v>20400</v>
      </c>
      <c r="Q42" s="36">
        <f t="shared" si="2"/>
        <v>20400</v>
      </c>
      <c r="R42" s="36">
        <f t="shared" si="3"/>
        <v>10195</v>
      </c>
      <c r="S42" s="71">
        <f t="shared" ref="S42" si="24">+R42/Q42</f>
        <v>0.49975490196078431</v>
      </c>
    </row>
    <row r="43" spans="1:19" x14ac:dyDescent="0.25">
      <c r="A43" s="4" t="s">
        <v>63</v>
      </c>
      <c r="B43" s="5" t="s">
        <v>114</v>
      </c>
      <c r="C43" s="4" t="s">
        <v>160</v>
      </c>
      <c r="D43" s="36">
        <v>0</v>
      </c>
      <c r="E43" s="36">
        <v>0</v>
      </c>
      <c r="F43" s="36">
        <v>0</v>
      </c>
      <c r="G43" s="69"/>
      <c r="H43" s="36">
        <v>0</v>
      </c>
      <c r="I43" s="36">
        <v>0</v>
      </c>
      <c r="J43" s="36">
        <v>0</v>
      </c>
      <c r="K43" s="69"/>
      <c r="L43" s="36">
        <v>0</v>
      </c>
      <c r="M43" s="36">
        <v>0</v>
      </c>
      <c r="N43" s="36">
        <v>0</v>
      </c>
      <c r="O43" s="72"/>
      <c r="P43" s="36">
        <f t="shared" si="1"/>
        <v>0</v>
      </c>
      <c r="Q43" s="36">
        <f t="shared" si="2"/>
        <v>0</v>
      </c>
      <c r="R43" s="36">
        <f t="shared" si="3"/>
        <v>0</v>
      </c>
      <c r="S43" s="72"/>
    </row>
    <row r="44" spans="1:19" x14ac:dyDescent="0.25">
      <c r="A44" s="4" t="s">
        <v>64</v>
      </c>
      <c r="B44" s="5" t="s">
        <v>115</v>
      </c>
      <c r="C44" s="4" t="s">
        <v>161</v>
      </c>
      <c r="D44" s="36">
        <f>68860000-D77</f>
        <v>1792632</v>
      </c>
      <c r="E44" s="36">
        <v>3585264</v>
      </c>
      <c r="F44" s="36">
        <v>1792632</v>
      </c>
      <c r="G44" s="68">
        <f t="shared" ref="G44" si="25">+F44/E44</f>
        <v>0.5</v>
      </c>
      <c r="H44" s="36">
        <v>0</v>
      </c>
      <c r="I44" s="36">
        <v>0</v>
      </c>
      <c r="J44" s="36">
        <v>0</v>
      </c>
      <c r="K44" s="69"/>
      <c r="L44" s="36">
        <v>0</v>
      </c>
      <c r="M44" s="36">
        <v>0</v>
      </c>
      <c r="N44" s="36">
        <v>0</v>
      </c>
      <c r="O44" s="72"/>
      <c r="P44" s="36">
        <f t="shared" si="1"/>
        <v>1792632</v>
      </c>
      <c r="Q44" s="36">
        <f t="shared" si="2"/>
        <v>3585264</v>
      </c>
      <c r="R44" s="36">
        <f t="shared" si="3"/>
        <v>1792632</v>
      </c>
      <c r="S44" s="71">
        <f t="shared" ref="S44" si="26">+R44/Q44</f>
        <v>0.5</v>
      </c>
    </row>
    <row r="45" spans="1:19" x14ac:dyDescent="0.25">
      <c r="A45" s="4" t="s">
        <v>65</v>
      </c>
      <c r="B45" s="5" t="s">
        <v>116</v>
      </c>
      <c r="C45" s="4" t="s">
        <v>162</v>
      </c>
      <c r="D45" s="36">
        <v>0</v>
      </c>
      <c r="E45" s="36">
        <v>0</v>
      </c>
      <c r="F45" s="36">
        <v>0</v>
      </c>
      <c r="G45" s="69"/>
      <c r="H45" s="36">
        <v>0</v>
      </c>
      <c r="I45" s="36">
        <v>0</v>
      </c>
      <c r="J45" s="36">
        <v>0</v>
      </c>
      <c r="K45" s="69"/>
      <c r="L45" s="36">
        <v>0</v>
      </c>
      <c r="M45" s="36">
        <v>0</v>
      </c>
      <c r="N45" s="36">
        <v>0</v>
      </c>
      <c r="O45" s="72"/>
      <c r="P45" s="36">
        <f t="shared" si="1"/>
        <v>0</v>
      </c>
      <c r="Q45" s="36">
        <f t="shared" si="2"/>
        <v>0</v>
      </c>
      <c r="R45" s="36">
        <f t="shared" si="3"/>
        <v>0</v>
      </c>
      <c r="S45" s="72"/>
    </row>
    <row r="46" spans="1:19" x14ac:dyDescent="0.25">
      <c r="A46" s="4" t="s">
        <v>66</v>
      </c>
      <c r="B46" s="5" t="s">
        <v>117</v>
      </c>
      <c r="C46" s="4" t="s">
        <v>163</v>
      </c>
      <c r="D46" s="36">
        <v>2800000</v>
      </c>
      <c r="E46" s="36">
        <v>3263244</v>
      </c>
      <c r="F46" s="36">
        <v>3709985</v>
      </c>
      <c r="G46" s="68">
        <f t="shared" ref="G46" si="27">+F46/E46</f>
        <v>1.1369008875830309</v>
      </c>
      <c r="H46" s="36">
        <v>140000</v>
      </c>
      <c r="I46" s="36">
        <v>140000</v>
      </c>
      <c r="J46" s="36">
        <v>20000</v>
      </c>
      <c r="K46" s="68">
        <f>+J46/I46</f>
        <v>0.14285714285714285</v>
      </c>
      <c r="L46" s="36">
        <v>0</v>
      </c>
      <c r="M46" s="36">
        <v>5</v>
      </c>
      <c r="N46" s="36">
        <v>5</v>
      </c>
      <c r="O46" s="71">
        <f>+N46/M46</f>
        <v>1</v>
      </c>
      <c r="P46" s="36">
        <f t="shared" si="1"/>
        <v>2940000</v>
      </c>
      <c r="Q46" s="36">
        <f t="shared" si="2"/>
        <v>3403249</v>
      </c>
      <c r="R46" s="36">
        <f t="shared" si="3"/>
        <v>3729990</v>
      </c>
      <c r="S46" s="71">
        <f t="shared" ref="S46" si="28">+R46/Q46</f>
        <v>1.0960085494772789</v>
      </c>
    </row>
    <row r="47" spans="1:19" x14ac:dyDescent="0.25">
      <c r="A47" s="4" t="s">
        <v>67</v>
      </c>
      <c r="B47" s="29" t="s">
        <v>168</v>
      </c>
      <c r="C47" s="24" t="s">
        <v>166</v>
      </c>
      <c r="D47" s="37">
        <f>SUM(D34:D46)</f>
        <v>35833521</v>
      </c>
      <c r="E47" s="37">
        <f t="shared" ref="E47:Q47" si="29">SUM(E34:E46)</f>
        <v>41089397</v>
      </c>
      <c r="F47" s="37">
        <f t="shared" si="29"/>
        <v>26161065</v>
      </c>
      <c r="G47" s="66">
        <f>+F47/E47</f>
        <v>0.63668651550179722</v>
      </c>
      <c r="H47" s="37">
        <f t="shared" si="29"/>
        <v>140200</v>
      </c>
      <c r="I47" s="37">
        <f t="shared" si="29"/>
        <v>140200</v>
      </c>
      <c r="J47" s="37">
        <f t="shared" si="29"/>
        <v>20165</v>
      </c>
      <c r="K47" s="66">
        <f>+J47/I47</f>
        <v>0.14383024251069901</v>
      </c>
      <c r="L47" s="37">
        <f t="shared" si="29"/>
        <v>2923994</v>
      </c>
      <c r="M47" s="37">
        <f t="shared" si="29"/>
        <v>2923999</v>
      </c>
      <c r="N47" s="37">
        <f t="shared" si="29"/>
        <v>2090211</v>
      </c>
      <c r="O47" s="64">
        <f>+N47/M47</f>
        <v>0.71484668770406556</v>
      </c>
      <c r="P47" s="37">
        <f t="shared" si="29"/>
        <v>38897715</v>
      </c>
      <c r="Q47" s="37">
        <f t="shared" si="29"/>
        <v>44153596</v>
      </c>
      <c r="R47" s="37">
        <f t="shared" ref="R47" si="30">SUM(R34:R46)</f>
        <v>28271441</v>
      </c>
      <c r="S47" s="64">
        <f>+R47/Q47</f>
        <v>0.64029758753964228</v>
      </c>
    </row>
    <row r="48" spans="1:19" x14ac:dyDescent="0.25">
      <c r="A48" s="4" t="s">
        <v>68</v>
      </c>
      <c r="B48" s="5" t="s">
        <v>118</v>
      </c>
      <c r="C48" s="4" t="s">
        <v>169</v>
      </c>
      <c r="D48" s="36">
        <v>0</v>
      </c>
      <c r="E48" s="36">
        <v>0</v>
      </c>
      <c r="F48" s="36">
        <v>0</v>
      </c>
      <c r="G48" s="69"/>
      <c r="H48" s="36">
        <v>0</v>
      </c>
      <c r="I48" s="36">
        <v>0</v>
      </c>
      <c r="J48" s="36">
        <v>0</v>
      </c>
      <c r="K48" s="69"/>
      <c r="L48" s="36">
        <v>0</v>
      </c>
      <c r="M48" s="36">
        <v>0</v>
      </c>
      <c r="N48" s="36">
        <v>0</v>
      </c>
      <c r="O48" s="72"/>
      <c r="P48" s="36">
        <f t="shared" si="1"/>
        <v>0</v>
      </c>
      <c r="Q48" s="36">
        <f t="shared" si="2"/>
        <v>0</v>
      </c>
      <c r="R48" s="36">
        <f t="shared" si="3"/>
        <v>0</v>
      </c>
      <c r="S48" s="72"/>
    </row>
    <row r="49" spans="1:19" x14ac:dyDescent="0.25">
      <c r="A49" s="4" t="s">
        <v>69</v>
      </c>
      <c r="B49" s="5" t="s">
        <v>119</v>
      </c>
      <c r="C49" s="4" t="s">
        <v>170</v>
      </c>
      <c r="D49" s="36">
        <f>14311200+63000000</f>
        <v>77311200</v>
      </c>
      <c r="E49" s="36">
        <v>77311200</v>
      </c>
      <c r="F49" s="36">
        <v>14681040</v>
      </c>
      <c r="G49" s="68">
        <f t="shared" ref="G49" si="31">+F49/E49</f>
        <v>0.18989538385124019</v>
      </c>
      <c r="H49" s="36">
        <v>0</v>
      </c>
      <c r="I49" s="36">
        <v>0</v>
      </c>
      <c r="J49" s="36">
        <v>0</v>
      </c>
      <c r="K49" s="69"/>
      <c r="L49" s="36">
        <v>0</v>
      </c>
      <c r="M49" s="36">
        <v>0</v>
      </c>
      <c r="N49" s="36">
        <v>0</v>
      </c>
      <c r="O49" s="72"/>
      <c r="P49" s="36">
        <f t="shared" si="1"/>
        <v>77311200</v>
      </c>
      <c r="Q49" s="36">
        <f t="shared" si="2"/>
        <v>77311200</v>
      </c>
      <c r="R49" s="36">
        <f t="shared" si="3"/>
        <v>14681040</v>
      </c>
      <c r="S49" s="71">
        <f t="shared" ref="S49" si="32">+R49/Q49</f>
        <v>0.18989538385124019</v>
      </c>
    </row>
    <row r="50" spans="1:19" x14ac:dyDescent="0.25">
      <c r="A50" s="4" t="s">
        <v>70</v>
      </c>
      <c r="B50" s="5" t="s">
        <v>120</v>
      </c>
      <c r="C50" s="4" t="s">
        <v>171</v>
      </c>
      <c r="D50" s="36">
        <v>0</v>
      </c>
      <c r="E50" s="36">
        <v>0</v>
      </c>
      <c r="F50" s="36">
        <v>0</v>
      </c>
      <c r="G50" s="69"/>
      <c r="H50" s="36">
        <v>0</v>
      </c>
      <c r="I50" s="36">
        <v>0</v>
      </c>
      <c r="J50" s="36">
        <v>0</v>
      </c>
      <c r="K50" s="69"/>
      <c r="L50" s="36">
        <v>0</v>
      </c>
      <c r="M50" s="36">
        <v>0</v>
      </c>
      <c r="N50" s="36">
        <v>0</v>
      </c>
      <c r="O50" s="72"/>
      <c r="P50" s="36">
        <f t="shared" si="1"/>
        <v>0</v>
      </c>
      <c r="Q50" s="36">
        <f t="shared" si="2"/>
        <v>0</v>
      </c>
      <c r="R50" s="36">
        <f t="shared" si="3"/>
        <v>0</v>
      </c>
      <c r="S50" s="72"/>
    </row>
    <row r="51" spans="1:19" x14ac:dyDescent="0.25">
      <c r="A51" s="4" t="s">
        <v>71</v>
      </c>
      <c r="B51" s="5" t="s">
        <v>121</v>
      </c>
      <c r="C51" s="4" t="s">
        <v>172</v>
      </c>
      <c r="D51" s="36">
        <v>0</v>
      </c>
      <c r="E51" s="36">
        <v>0</v>
      </c>
      <c r="F51" s="36">
        <v>0</v>
      </c>
      <c r="G51" s="69"/>
      <c r="H51" s="36">
        <v>0</v>
      </c>
      <c r="I51" s="36">
        <v>0</v>
      </c>
      <c r="J51" s="36">
        <v>0</v>
      </c>
      <c r="K51" s="69"/>
      <c r="L51" s="36">
        <v>0</v>
      </c>
      <c r="M51" s="36">
        <v>0</v>
      </c>
      <c r="N51" s="36">
        <v>0</v>
      </c>
      <c r="O51" s="72"/>
      <c r="P51" s="36">
        <f t="shared" si="1"/>
        <v>0</v>
      </c>
      <c r="Q51" s="36">
        <f t="shared" si="2"/>
        <v>0</v>
      </c>
      <c r="R51" s="36">
        <f t="shared" si="3"/>
        <v>0</v>
      </c>
      <c r="S51" s="72"/>
    </row>
    <row r="52" spans="1:19" x14ac:dyDescent="0.25">
      <c r="A52" s="4" t="s">
        <v>72</v>
      </c>
      <c r="B52" s="5" t="s">
        <v>122</v>
      </c>
      <c r="C52" s="4" t="s">
        <v>173</v>
      </c>
      <c r="D52" s="36">
        <v>0</v>
      </c>
      <c r="E52" s="36">
        <v>0</v>
      </c>
      <c r="F52" s="36">
        <v>0</v>
      </c>
      <c r="G52" s="69"/>
      <c r="H52" s="36">
        <v>0</v>
      </c>
      <c r="I52" s="36">
        <v>0</v>
      </c>
      <c r="J52" s="36">
        <v>0</v>
      </c>
      <c r="K52" s="69"/>
      <c r="L52" s="36">
        <v>0</v>
      </c>
      <c r="M52" s="36">
        <v>0</v>
      </c>
      <c r="N52" s="36">
        <v>0</v>
      </c>
      <c r="O52" s="72"/>
      <c r="P52" s="36">
        <f t="shared" si="1"/>
        <v>0</v>
      </c>
      <c r="Q52" s="36">
        <f t="shared" si="2"/>
        <v>0</v>
      </c>
      <c r="R52" s="36">
        <f t="shared" si="3"/>
        <v>0</v>
      </c>
      <c r="S52" s="72"/>
    </row>
    <row r="53" spans="1:19" x14ac:dyDescent="0.25">
      <c r="A53" s="4" t="s">
        <v>73</v>
      </c>
      <c r="B53" s="29" t="s">
        <v>195</v>
      </c>
      <c r="C53" s="24" t="s">
        <v>167</v>
      </c>
      <c r="D53" s="37">
        <f>SUM(D48:D52)</f>
        <v>77311200</v>
      </c>
      <c r="E53" s="37">
        <f t="shared" ref="E53:Q53" si="33">SUM(E48:E52)</f>
        <v>77311200</v>
      </c>
      <c r="F53" s="37">
        <f t="shared" si="33"/>
        <v>14681040</v>
      </c>
      <c r="G53" s="66">
        <f>+F53/E53</f>
        <v>0.18989538385124019</v>
      </c>
      <c r="H53" s="37">
        <f t="shared" si="33"/>
        <v>0</v>
      </c>
      <c r="I53" s="37">
        <f t="shared" si="33"/>
        <v>0</v>
      </c>
      <c r="J53" s="37">
        <f t="shared" si="33"/>
        <v>0</v>
      </c>
      <c r="K53" s="70"/>
      <c r="L53" s="37">
        <f t="shared" si="33"/>
        <v>0</v>
      </c>
      <c r="M53" s="37">
        <f t="shared" si="33"/>
        <v>0</v>
      </c>
      <c r="N53" s="37">
        <f t="shared" si="33"/>
        <v>0</v>
      </c>
      <c r="O53" s="37"/>
      <c r="P53" s="37">
        <f t="shared" si="33"/>
        <v>77311200</v>
      </c>
      <c r="Q53" s="37">
        <f t="shared" si="33"/>
        <v>77311200</v>
      </c>
      <c r="R53" s="37">
        <f t="shared" ref="R53" si="34">SUM(R48:R52)</f>
        <v>14681040</v>
      </c>
      <c r="S53" s="64">
        <f>+R53/Q53</f>
        <v>0.18989538385124019</v>
      </c>
    </row>
    <row r="54" spans="1:19" ht="30" x14ac:dyDescent="0.25">
      <c r="A54" s="4" t="s">
        <v>74</v>
      </c>
      <c r="B54" s="6" t="s">
        <v>123</v>
      </c>
      <c r="C54" s="4" t="s">
        <v>181</v>
      </c>
      <c r="D54" s="36">
        <v>0</v>
      </c>
      <c r="E54" s="36">
        <v>0</v>
      </c>
      <c r="F54" s="36">
        <v>0</v>
      </c>
      <c r="G54" s="69"/>
      <c r="H54" s="36">
        <v>0</v>
      </c>
      <c r="I54" s="36">
        <v>0</v>
      </c>
      <c r="J54" s="36">
        <v>0</v>
      </c>
      <c r="K54" s="69"/>
      <c r="L54" s="36">
        <v>0</v>
      </c>
      <c r="M54" s="36">
        <v>0</v>
      </c>
      <c r="N54" s="36">
        <v>0</v>
      </c>
      <c r="O54" s="72"/>
      <c r="P54" s="36">
        <f t="shared" si="1"/>
        <v>0</v>
      </c>
      <c r="Q54" s="36">
        <f t="shared" si="2"/>
        <v>0</v>
      </c>
      <c r="R54" s="36">
        <f t="shared" si="3"/>
        <v>0</v>
      </c>
      <c r="S54" s="72"/>
    </row>
    <row r="55" spans="1:19" ht="30" x14ac:dyDescent="0.25">
      <c r="A55" s="4" t="s">
        <v>75</v>
      </c>
      <c r="B55" s="6" t="s">
        <v>124</v>
      </c>
      <c r="C55" s="4" t="s">
        <v>182</v>
      </c>
      <c r="D55" s="36">
        <v>0</v>
      </c>
      <c r="E55" s="36">
        <v>0</v>
      </c>
      <c r="F55" s="36">
        <v>0</v>
      </c>
      <c r="G55" s="69"/>
      <c r="H55" s="36">
        <v>0</v>
      </c>
      <c r="I55" s="36">
        <v>0</v>
      </c>
      <c r="J55" s="36">
        <v>0</v>
      </c>
      <c r="K55" s="69"/>
      <c r="L55" s="36">
        <v>0</v>
      </c>
      <c r="M55" s="36">
        <v>0</v>
      </c>
      <c r="N55" s="36">
        <v>0</v>
      </c>
      <c r="O55" s="72"/>
      <c r="P55" s="36">
        <f t="shared" si="1"/>
        <v>0</v>
      </c>
      <c r="Q55" s="36">
        <f t="shared" si="2"/>
        <v>0</v>
      </c>
      <c r="R55" s="36">
        <f t="shared" si="3"/>
        <v>0</v>
      </c>
      <c r="S55" s="72"/>
    </row>
    <row r="56" spans="1:19" ht="30" x14ac:dyDescent="0.25">
      <c r="A56" s="4" t="s">
        <v>76</v>
      </c>
      <c r="B56" s="6" t="s">
        <v>548</v>
      </c>
      <c r="C56" s="4" t="s">
        <v>183</v>
      </c>
      <c r="D56" s="36">
        <v>0</v>
      </c>
      <c r="E56" s="36">
        <v>0</v>
      </c>
      <c r="F56" s="36">
        <v>0</v>
      </c>
      <c r="G56" s="69"/>
      <c r="H56" s="36">
        <v>0</v>
      </c>
      <c r="I56" s="36">
        <v>0</v>
      </c>
      <c r="J56" s="36">
        <v>0</v>
      </c>
      <c r="K56" s="69"/>
      <c r="L56" s="36">
        <v>0</v>
      </c>
      <c r="M56" s="36">
        <v>0</v>
      </c>
      <c r="N56" s="36">
        <v>0</v>
      </c>
      <c r="O56" s="72"/>
      <c r="P56" s="36">
        <f t="shared" si="1"/>
        <v>0</v>
      </c>
      <c r="Q56" s="36">
        <f t="shared" si="2"/>
        <v>0</v>
      </c>
      <c r="R56" s="36">
        <f t="shared" si="3"/>
        <v>0</v>
      </c>
      <c r="S56" s="72"/>
    </row>
    <row r="57" spans="1:19" ht="30" x14ac:dyDescent="0.25">
      <c r="A57" s="4" t="s">
        <v>77</v>
      </c>
      <c r="B57" s="6" t="s">
        <v>549</v>
      </c>
      <c r="C57" s="4" t="s">
        <v>174</v>
      </c>
      <c r="D57" s="36">
        <v>500000</v>
      </c>
      <c r="E57" s="36">
        <v>500000</v>
      </c>
      <c r="F57" s="36">
        <v>0</v>
      </c>
      <c r="G57" s="68">
        <f t="shared" ref="G57:G59" si="35">+F57/E57</f>
        <v>0</v>
      </c>
      <c r="H57" s="36">
        <v>0</v>
      </c>
      <c r="I57" s="36">
        <v>0</v>
      </c>
      <c r="J57" s="36">
        <v>0</v>
      </c>
      <c r="K57" s="69"/>
      <c r="L57" s="36">
        <v>0</v>
      </c>
      <c r="M57" s="36">
        <v>0</v>
      </c>
      <c r="N57" s="36">
        <v>0</v>
      </c>
      <c r="O57" s="72"/>
      <c r="P57" s="36">
        <f t="shared" si="1"/>
        <v>500000</v>
      </c>
      <c r="Q57" s="36">
        <f t="shared" si="2"/>
        <v>500000</v>
      </c>
      <c r="R57" s="36">
        <f t="shared" si="3"/>
        <v>0</v>
      </c>
      <c r="S57" s="72"/>
    </row>
    <row r="58" spans="1:19" x14ac:dyDescent="0.25">
      <c r="A58" s="4" t="s">
        <v>78</v>
      </c>
      <c r="B58" s="6" t="s">
        <v>125</v>
      </c>
      <c r="C58" s="4" t="s">
        <v>180</v>
      </c>
      <c r="D58" s="36">
        <v>0</v>
      </c>
      <c r="E58" s="59">
        <v>221692</v>
      </c>
      <c r="F58" s="59">
        <v>92425</v>
      </c>
      <c r="G58" s="68">
        <f t="shared" si="35"/>
        <v>0.41690724067625357</v>
      </c>
      <c r="H58" s="36">
        <v>0</v>
      </c>
      <c r="I58" s="36">
        <v>0</v>
      </c>
      <c r="J58" s="36">
        <v>0</v>
      </c>
      <c r="K58" s="69"/>
      <c r="L58" s="36">
        <v>0</v>
      </c>
      <c r="M58" s="36">
        <v>0</v>
      </c>
      <c r="N58" s="36">
        <v>0</v>
      </c>
      <c r="O58" s="72"/>
      <c r="P58" s="36">
        <f t="shared" si="1"/>
        <v>0</v>
      </c>
      <c r="Q58" s="36">
        <f t="shared" si="2"/>
        <v>221692</v>
      </c>
      <c r="R58" s="36">
        <f t="shared" si="3"/>
        <v>92425</v>
      </c>
      <c r="S58" s="71">
        <f t="shared" ref="S58" si="36">+R58/Q58</f>
        <v>0.41690724067625357</v>
      </c>
    </row>
    <row r="59" spans="1:19" x14ac:dyDescent="0.25">
      <c r="A59" s="4" t="s">
        <v>79</v>
      </c>
      <c r="B59" s="30" t="s">
        <v>184</v>
      </c>
      <c r="C59" s="24" t="s">
        <v>185</v>
      </c>
      <c r="D59" s="37">
        <f>SUM(D54:D58)</f>
        <v>500000</v>
      </c>
      <c r="E59" s="37">
        <f t="shared" ref="E59:Q59" si="37">SUM(E54:E58)</f>
        <v>721692</v>
      </c>
      <c r="F59" s="37">
        <f t="shared" si="37"/>
        <v>92425</v>
      </c>
      <c r="G59" s="66">
        <f t="shared" si="35"/>
        <v>0.12806709787554801</v>
      </c>
      <c r="H59" s="37">
        <f t="shared" si="37"/>
        <v>0</v>
      </c>
      <c r="I59" s="37">
        <f t="shared" si="37"/>
        <v>0</v>
      </c>
      <c r="J59" s="37">
        <f t="shared" si="37"/>
        <v>0</v>
      </c>
      <c r="K59" s="70"/>
      <c r="L59" s="37">
        <f t="shared" si="37"/>
        <v>0</v>
      </c>
      <c r="M59" s="37">
        <f t="shared" si="37"/>
        <v>0</v>
      </c>
      <c r="N59" s="37">
        <f t="shared" si="37"/>
        <v>0</v>
      </c>
      <c r="O59" s="37"/>
      <c r="P59" s="37">
        <f t="shared" si="37"/>
        <v>500000</v>
      </c>
      <c r="Q59" s="37">
        <f t="shared" si="37"/>
        <v>721692</v>
      </c>
      <c r="R59" s="37">
        <f t="shared" ref="R59" si="38">SUM(R54:R58)</f>
        <v>92425</v>
      </c>
      <c r="S59" s="64">
        <f>+R59/Q59</f>
        <v>0.12806709787554801</v>
      </c>
    </row>
    <row r="60" spans="1:19" ht="30" x14ac:dyDescent="0.25">
      <c r="A60" s="4" t="s">
        <v>80</v>
      </c>
      <c r="B60" s="6" t="s">
        <v>186</v>
      </c>
      <c r="C60" s="4" t="s">
        <v>175</v>
      </c>
      <c r="D60" s="36">
        <v>0</v>
      </c>
      <c r="E60" s="36">
        <v>0</v>
      </c>
      <c r="F60" s="36">
        <v>0</v>
      </c>
      <c r="G60" s="69"/>
      <c r="H60" s="36">
        <v>0</v>
      </c>
      <c r="I60" s="36">
        <v>0</v>
      </c>
      <c r="J60" s="36">
        <v>0</v>
      </c>
      <c r="K60" s="69"/>
      <c r="L60" s="36">
        <v>0</v>
      </c>
      <c r="M60" s="36">
        <v>0</v>
      </c>
      <c r="N60" s="36">
        <v>0</v>
      </c>
      <c r="O60" s="72"/>
      <c r="P60" s="36">
        <f t="shared" si="1"/>
        <v>0</v>
      </c>
      <c r="Q60" s="36">
        <f t="shared" si="2"/>
        <v>0</v>
      </c>
      <c r="R60" s="36">
        <f t="shared" si="3"/>
        <v>0</v>
      </c>
      <c r="S60" s="72"/>
    </row>
    <row r="61" spans="1:19" ht="30" x14ac:dyDescent="0.25">
      <c r="A61" s="4" t="s">
        <v>81</v>
      </c>
      <c r="B61" s="6" t="s">
        <v>187</v>
      </c>
      <c r="C61" s="4" t="s">
        <v>176</v>
      </c>
      <c r="D61" s="36">
        <v>0</v>
      </c>
      <c r="E61" s="36">
        <v>0</v>
      </c>
      <c r="F61" s="36">
        <v>0</v>
      </c>
      <c r="G61" s="69"/>
      <c r="H61" s="36">
        <v>0</v>
      </c>
      <c r="I61" s="36">
        <v>0</v>
      </c>
      <c r="J61" s="36">
        <v>0</v>
      </c>
      <c r="K61" s="69"/>
      <c r="L61" s="36">
        <v>0</v>
      </c>
      <c r="M61" s="36">
        <v>0</v>
      </c>
      <c r="N61" s="36">
        <v>0</v>
      </c>
      <c r="O61" s="72"/>
      <c r="P61" s="36">
        <f t="shared" si="1"/>
        <v>0</v>
      </c>
      <c r="Q61" s="36">
        <f t="shared" si="2"/>
        <v>0</v>
      </c>
      <c r="R61" s="36">
        <f t="shared" si="3"/>
        <v>0</v>
      </c>
      <c r="S61" s="72"/>
    </row>
    <row r="62" spans="1:19" ht="30" x14ac:dyDescent="0.25">
      <c r="A62" s="4" t="s">
        <v>82</v>
      </c>
      <c r="B62" s="6" t="s">
        <v>188</v>
      </c>
      <c r="C62" s="4" t="s">
        <v>177</v>
      </c>
      <c r="D62" s="36">
        <v>0</v>
      </c>
      <c r="E62" s="36">
        <v>0</v>
      </c>
      <c r="F62" s="36">
        <v>0</v>
      </c>
      <c r="G62" s="69"/>
      <c r="H62" s="36">
        <v>0</v>
      </c>
      <c r="I62" s="36">
        <v>0</v>
      </c>
      <c r="J62" s="36">
        <v>0</v>
      </c>
      <c r="K62" s="69"/>
      <c r="L62" s="36">
        <v>0</v>
      </c>
      <c r="M62" s="36">
        <v>0</v>
      </c>
      <c r="N62" s="36">
        <v>0</v>
      </c>
      <c r="O62" s="72"/>
      <c r="P62" s="36">
        <f t="shared" si="1"/>
        <v>0</v>
      </c>
      <c r="Q62" s="36">
        <f t="shared" si="2"/>
        <v>0</v>
      </c>
      <c r="R62" s="36">
        <f t="shared" si="3"/>
        <v>0</v>
      </c>
      <c r="S62" s="72"/>
    </row>
    <row r="63" spans="1:19" ht="30" x14ac:dyDescent="0.25">
      <c r="A63" s="4" t="s">
        <v>83</v>
      </c>
      <c r="B63" s="6" t="s">
        <v>189</v>
      </c>
      <c r="C63" s="4" t="s">
        <v>178</v>
      </c>
      <c r="D63" s="36">
        <v>0</v>
      </c>
      <c r="E63" s="36">
        <v>310166</v>
      </c>
      <c r="F63" s="36">
        <v>0</v>
      </c>
      <c r="G63" s="68">
        <f t="shared" ref="G63:G64" si="39">+F63/E63</f>
        <v>0</v>
      </c>
      <c r="H63" s="36">
        <v>0</v>
      </c>
      <c r="I63" s="36">
        <v>0</v>
      </c>
      <c r="J63" s="36">
        <v>0</v>
      </c>
      <c r="K63" s="69"/>
      <c r="L63" s="36">
        <v>0</v>
      </c>
      <c r="M63" s="36">
        <v>0</v>
      </c>
      <c r="N63" s="36">
        <v>0</v>
      </c>
      <c r="O63" s="72"/>
      <c r="P63" s="36">
        <f t="shared" si="1"/>
        <v>0</v>
      </c>
      <c r="Q63" s="36">
        <f t="shared" si="2"/>
        <v>310166</v>
      </c>
      <c r="R63" s="36">
        <f t="shared" si="3"/>
        <v>0</v>
      </c>
      <c r="S63" s="72"/>
    </row>
    <row r="64" spans="1:19" x14ac:dyDescent="0.25">
      <c r="A64" s="4" t="s">
        <v>84</v>
      </c>
      <c r="B64" s="6" t="s">
        <v>190</v>
      </c>
      <c r="C64" s="4" t="s">
        <v>179</v>
      </c>
      <c r="D64" s="36">
        <v>10740000</v>
      </c>
      <c r="E64" s="36">
        <v>12612272</v>
      </c>
      <c r="F64" s="36">
        <v>12612272</v>
      </c>
      <c r="G64" s="68">
        <f t="shared" si="39"/>
        <v>1</v>
      </c>
      <c r="H64" s="36">
        <v>0</v>
      </c>
      <c r="I64" s="36">
        <v>0</v>
      </c>
      <c r="J64" s="36">
        <v>0</v>
      </c>
      <c r="K64" s="69"/>
      <c r="L64" s="36">
        <v>0</v>
      </c>
      <c r="M64" s="36">
        <v>0</v>
      </c>
      <c r="N64" s="36">
        <v>0</v>
      </c>
      <c r="O64" s="72"/>
      <c r="P64" s="36">
        <f t="shared" si="1"/>
        <v>10740000</v>
      </c>
      <c r="Q64" s="36">
        <f t="shared" si="2"/>
        <v>12612272</v>
      </c>
      <c r="R64" s="36">
        <f t="shared" si="3"/>
        <v>12612272</v>
      </c>
      <c r="S64" s="71">
        <f t="shared" ref="S64" si="40">+R64/Q64</f>
        <v>1</v>
      </c>
    </row>
    <row r="65" spans="1:19" x14ac:dyDescent="0.25">
      <c r="A65" s="4" t="s">
        <v>85</v>
      </c>
      <c r="B65" s="30" t="s">
        <v>192</v>
      </c>
      <c r="C65" s="24" t="s">
        <v>191</v>
      </c>
      <c r="D65" s="37">
        <f>SUM(D60:D64)</f>
        <v>10740000</v>
      </c>
      <c r="E65" s="37">
        <f t="shared" ref="E65:Q65" si="41">SUM(E60:E64)</f>
        <v>12922438</v>
      </c>
      <c r="F65" s="37">
        <f t="shared" si="41"/>
        <v>12612272</v>
      </c>
      <c r="G65" s="66">
        <f>+F65/E65</f>
        <v>0.97599787284721351</v>
      </c>
      <c r="H65" s="37">
        <f t="shared" si="41"/>
        <v>0</v>
      </c>
      <c r="I65" s="37">
        <f t="shared" si="41"/>
        <v>0</v>
      </c>
      <c r="J65" s="37">
        <f t="shared" si="41"/>
        <v>0</v>
      </c>
      <c r="K65" s="70"/>
      <c r="L65" s="37">
        <f t="shared" si="41"/>
        <v>0</v>
      </c>
      <c r="M65" s="37">
        <f t="shared" si="41"/>
        <v>0</v>
      </c>
      <c r="N65" s="37">
        <f t="shared" si="41"/>
        <v>0</v>
      </c>
      <c r="O65" s="37"/>
      <c r="P65" s="37">
        <f t="shared" si="41"/>
        <v>10740000</v>
      </c>
      <c r="Q65" s="37">
        <f t="shared" si="41"/>
        <v>12922438</v>
      </c>
      <c r="R65" s="37">
        <f t="shared" ref="R65" si="42">SUM(R60:R64)</f>
        <v>12612272</v>
      </c>
      <c r="S65" s="64">
        <f>+R65/Q65</f>
        <v>0.97599787284721351</v>
      </c>
    </row>
    <row r="66" spans="1:19" ht="30" x14ac:dyDescent="0.25">
      <c r="A66" s="4" t="s">
        <v>86</v>
      </c>
      <c r="B66" s="9" t="s">
        <v>476</v>
      </c>
      <c r="C66" s="10" t="s">
        <v>196</v>
      </c>
      <c r="D66" s="38">
        <f>+D17+D23+D29+D33+D47+D53+D59+D65</f>
        <v>1420933206</v>
      </c>
      <c r="E66" s="38">
        <f t="shared" ref="E66:Q66" si="43">+E17+E23+E29+E33+E47+E53+E59+E65</f>
        <v>1456824383</v>
      </c>
      <c r="F66" s="38">
        <f t="shared" si="43"/>
        <v>521660584</v>
      </c>
      <c r="G66" s="67">
        <f>+F66/E66</f>
        <v>0.35808062391553203</v>
      </c>
      <c r="H66" s="38">
        <f t="shared" si="43"/>
        <v>140200</v>
      </c>
      <c r="I66" s="38">
        <f t="shared" si="43"/>
        <v>4993908</v>
      </c>
      <c r="J66" s="38">
        <f t="shared" si="43"/>
        <v>4370089</v>
      </c>
      <c r="K66" s="67">
        <f>+J66/I66</f>
        <v>0.8750840023484614</v>
      </c>
      <c r="L66" s="38">
        <f t="shared" si="43"/>
        <v>2923994</v>
      </c>
      <c r="M66" s="38">
        <f t="shared" si="43"/>
        <v>2923999</v>
      </c>
      <c r="N66" s="38">
        <f t="shared" si="43"/>
        <v>2090211</v>
      </c>
      <c r="O66" s="65">
        <f>+N66/M66</f>
        <v>0.71484668770406556</v>
      </c>
      <c r="P66" s="38">
        <f t="shared" si="43"/>
        <v>1423997400</v>
      </c>
      <c r="Q66" s="38">
        <f t="shared" si="43"/>
        <v>1464742290</v>
      </c>
      <c r="R66" s="38">
        <f t="shared" ref="R66" si="44">+R17+R23+R29+R33+R47+R53+R59+R65</f>
        <v>528120884</v>
      </c>
      <c r="S66" s="65">
        <f>+R66/Q66</f>
        <v>0.36055549676250559</v>
      </c>
    </row>
    <row r="68" spans="1:19" ht="18.75" x14ac:dyDescent="0.3">
      <c r="A68" s="119" t="s">
        <v>53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18"/>
      <c r="S68" s="118"/>
    </row>
    <row r="69" spans="1:19" x14ac:dyDescent="0.25">
      <c r="A69" s="115" t="s">
        <v>0</v>
      </c>
      <c r="B69" s="4" t="s">
        <v>1</v>
      </c>
      <c r="C69" s="4" t="s">
        <v>2</v>
      </c>
      <c r="D69" s="12" t="s">
        <v>3</v>
      </c>
      <c r="E69" s="13" t="s">
        <v>4</v>
      </c>
      <c r="F69" s="13" t="s">
        <v>5</v>
      </c>
      <c r="G69" s="13" t="s">
        <v>6</v>
      </c>
      <c r="H69" s="13" t="s">
        <v>7</v>
      </c>
      <c r="I69" s="13" t="s">
        <v>8</v>
      </c>
      <c r="J69" s="13" t="s">
        <v>9</v>
      </c>
      <c r="K69" s="13" t="s">
        <v>55</v>
      </c>
      <c r="L69" s="13" t="s">
        <v>582</v>
      </c>
      <c r="M69" s="13" t="s">
        <v>583</v>
      </c>
      <c r="N69" s="13" t="s">
        <v>584</v>
      </c>
      <c r="O69" s="13" t="s">
        <v>585</v>
      </c>
      <c r="P69" s="13" t="s">
        <v>586</v>
      </c>
      <c r="Q69" s="13" t="s">
        <v>587</v>
      </c>
      <c r="R69" s="13" t="s">
        <v>588</v>
      </c>
      <c r="S69" s="13" t="s">
        <v>589</v>
      </c>
    </row>
    <row r="70" spans="1:19" ht="45.75" customHeight="1" x14ac:dyDescent="0.25">
      <c r="A70" s="115"/>
      <c r="B70" s="115" t="s">
        <v>10</v>
      </c>
      <c r="C70" s="115" t="s">
        <v>54</v>
      </c>
      <c r="D70" s="105" t="s">
        <v>16</v>
      </c>
      <c r="E70" s="121"/>
      <c r="F70" s="96"/>
      <c r="G70" s="97"/>
      <c r="H70" s="105" t="s">
        <v>15</v>
      </c>
      <c r="I70" s="121"/>
      <c r="J70" s="96"/>
      <c r="K70" s="97"/>
      <c r="L70" s="105" t="s">
        <v>539</v>
      </c>
      <c r="M70" s="121"/>
      <c r="N70" s="96"/>
      <c r="O70" s="97"/>
      <c r="P70" s="115" t="s">
        <v>43</v>
      </c>
      <c r="Q70" s="115"/>
      <c r="R70" s="116"/>
      <c r="S70" s="116"/>
    </row>
    <row r="71" spans="1:19" x14ac:dyDescent="0.25">
      <c r="A71" s="115"/>
      <c r="B71" s="124"/>
      <c r="C71" s="124"/>
      <c r="D71" s="14" t="s">
        <v>11</v>
      </c>
      <c r="E71" s="15" t="s">
        <v>12</v>
      </c>
      <c r="F71" s="98" t="s">
        <v>581</v>
      </c>
      <c r="G71" s="99"/>
      <c r="H71" s="15" t="s">
        <v>11</v>
      </c>
      <c r="I71" s="15" t="s">
        <v>12</v>
      </c>
      <c r="J71" s="98" t="s">
        <v>581</v>
      </c>
      <c r="K71" s="99"/>
      <c r="L71" s="15" t="s">
        <v>11</v>
      </c>
      <c r="M71" s="15" t="s">
        <v>12</v>
      </c>
      <c r="N71" s="98" t="s">
        <v>581</v>
      </c>
      <c r="O71" s="99"/>
      <c r="P71" s="15" t="s">
        <v>11</v>
      </c>
      <c r="Q71" s="15" t="s">
        <v>12</v>
      </c>
      <c r="R71" s="98" t="s">
        <v>581</v>
      </c>
      <c r="S71" s="99"/>
    </row>
    <row r="72" spans="1:19" x14ac:dyDescent="0.25">
      <c r="A72" s="115"/>
      <c r="B72" s="124"/>
      <c r="C72" s="124"/>
      <c r="D72" s="122" t="s">
        <v>13</v>
      </c>
      <c r="E72" s="123"/>
      <c r="F72" s="100"/>
      <c r="G72" s="100"/>
      <c r="H72" s="98" t="s">
        <v>13</v>
      </c>
      <c r="I72" s="98"/>
      <c r="J72" s="100"/>
      <c r="K72" s="100"/>
      <c r="L72" s="98" t="s">
        <v>13</v>
      </c>
      <c r="M72" s="98"/>
      <c r="N72" s="100"/>
      <c r="O72" s="100"/>
      <c r="P72" s="98" t="s">
        <v>13</v>
      </c>
      <c r="Q72" s="98"/>
      <c r="R72" s="100"/>
      <c r="S72" s="100"/>
    </row>
    <row r="73" spans="1:19" ht="30" x14ac:dyDescent="0.25">
      <c r="A73" s="8" t="s">
        <v>235</v>
      </c>
      <c r="B73" s="6" t="s">
        <v>197</v>
      </c>
      <c r="C73" s="4" t="s">
        <v>210</v>
      </c>
      <c r="D73" s="36">
        <v>0</v>
      </c>
      <c r="E73" s="36">
        <v>0</v>
      </c>
      <c r="F73" s="36">
        <v>0</v>
      </c>
      <c r="G73" s="36"/>
      <c r="H73" s="36">
        <v>0</v>
      </c>
      <c r="I73" s="36">
        <v>0</v>
      </c>
      <c r="J73" s="36">
        <v>0</v>
      </c>
      <c r="K73" s="36"/>
      <c r="L73" s="36">
        <v>0</v>
      </c>
      <c r="M73" s="36">
        <v>0</v>
      </c>
      <c r="N73" s="36">
        <v>0</v>
      </c>
      <c r="O73" s="72"/>
      <c r="P73" s="36">
        <f t="shared" ref="P73:Q75" si="45">+D73+H73+L73</f>
        <v>0</v>
      </c>
      <c r="Q73" s="36">
        <f t="shared" si="45"/>
        <v>0</v>
      </c>
      <c r="R73" s="36">
        <f t="shared" ref="R73:R75" si="46">+F73+J73+N73</f>
        <v>0</v>
      </c>
      <c r="S73" s="71"/>
    </row>
    <row r="74" spans="1:19" ht="30" x14ac:dyDescent="0.25">
      <c r="A74" s="8" t="s">
        <v>236</v>
      </c>
      <c r="B74" s="6" t="s">
        <v>198</v>
      </c>
      <c r="C74" s="4" t="s">
        <v>211</v>
      </c>
      <c r="D74" s="36">
        <v>0</v>
      </c>
      <c r="E74" s="36">
        <v>0</v>
      </c>
      <c r="F74" s="36">
        <v>0</v>
      </c>
      <c r="G74" s="36"/>
      <c r="H74" s="36">
        <v>0</v>
      </c>
      <c r="I74" s="36">
        <v>0</v>
      </c>
      <c r="J74" s="36">
        <v>0</v>
      </c>
      <c r="K74" s="36"/>
      <c r="L74" s="36">
        <v>0</v>
      </c>
      <c r="M74" s="36">
        <v>0</v>
      </c>
      <c r="N74" s="36">
        <v>0</v>
      </c>
      <c r="O74" s="72"/>
      <c r="P74" s="36">
        <f t="shared" si="45"/>
        <v>0</v>
      </c>
      <c r="Q74" s="36">
        <f t="shared" si="45"/>
        <v>0</v>
      </c>
      <c r="R74" s="36">
        <f t="shared" si="46"/>
        <v>0</v>
      </c>
      <c r="S74" s="72"/>
    </row>
    <row r="75" spans="1:19" ht="30" x14ac:dyDescent="0.25">
      <c r="A75" s="8" t="s">
        <v>237</v>
      </c>
      <c r="B75" s="6" t="s">
        <v>199</v>
      </c>
      <c r="C75" s="4" t="s">
        <v>212</v>
      </c>
      <c r="D75" s="36">
        <v>0</v>
      </c>
      <c r="E75" s="36">
        <v>0</v>
      </c>
      <c r="F75" s="36">
        <v>0</v>
      </c>
      <c r="G75" s="36"/>
      <c r="H75" s="36">
        <v>0</v>
      </c>
      <c r="I75" s="36">
        <v>0</v>
      </c>
      <c r="J75" s="36">
        <v>0</v>
      </c>
      <c r="K75" s="36"/>
      <c r="L75" s="36">
        <v>0</v>
      </c>
      <c r="M75" s="36">
        <v>0</v>
      </c>
      <c r="N75" s="36">
        <v>0</v>
      </c>
      <c r="O75" s="72"/>
      <c r="P75" s="36">
        <f t="shared" si="45"/>
        <v>0</v>
      </c>
      <c r="Q75" s="36">
        <f t="shared" si="45"/>
        <v>0</v>
      </c>
      <c r="R75" s="36">
        <f t="shared" si="46"/>
        <v>0</v>
      </c>
      <c r="S75" s="72"/>
    </row>
    <row r="76" spans="1:19" x14ac:dyDescent="0.25">
      <c r="A76" s="8" t="s">
        <v>238</v>
      </c>
      <c r="B76" s="30" t="s">
        <v>200</v>
      </c>
      <c r="C76" s="24" t="s">
        <v>213</v>
      </c>
      <c r="D76" s="37">
        <f>SUM(D73:D75)</f>
        <v>0</v>
      </c>
      <c r="E76" s="37">
        <f t="shared" ref="E76:Q76" si="47">SUM(E73:E75)</f>
        <v>0</v>
      </c>
      <c r="F76" s="37">
        <f t="shared" si="47"/>
        <v>0</v>
      </c>
      <c r="G76" s="37"/>
      <c r="H76" s="37">
        <f t="shared" si="47"/>
        <v>0</v>
      </c>
      <c r="I76" s="37">
        <f t="shared" si="47"/>
        <v>0</v>
      </c>
      <c r="J76" s="37"/>
      <c r="K76" s="37"/>
      <c r="L76" s="37">
        <f t="shared" si="47"/>
        <v>0</v>
      </c>
      <c r="M76" s="37">
        <f t="shared" si="47"/>
        <v>0</v>
      </c>
      <c r="N76" s="37">
        <f t="shared" si="47"/>
        <v>0</v>
      </c>
      <c r="O76" s="37"/>
      <c r="P76" s="37">
        <f t="shared" si="47"/>
        <v>0</v>
      </c>
      <c r="Q76" s="37">
        <f t="shared" si="47"/>
        <v>0</v>
      </c>
      <c r="R76" s="37">
        <f t="shared" ref="R76" si="48">SUM(R73:R75)</f>
        <v>0</v>
      </c>
      <c r="S76" s="37"/>
    </row>
    <row r="77" spans="1:19" x14ac:dyDescent="0.25">
      <c r="A77" s="8" t="s">
        <v>239</v>
      </c>
      <c r="B77" s="6" t="s">
        <v>201</v>
      </c>
      <c r="C77" s="4" t="s">
        <v>214</v>
      </c>
      <c r="D77" s="36">
        <v>67067368</v>
      </c>
      <c r="E77" s="36">
        <v>135923858</v>
      </c>
      <c r="F77" s="36">
        <v>67067368</v>
      </c>
      <c r="G77" s="63">
        <f t="shared" ref="G77" si="49">+F77/E77</f>
        <v>0.49341866090940417</v>
      </c>
      <c r="H77" s="36">
        <v>0</v>
      </c>
      <c r="I77" s="36">
        <v>0</v>
      </c>
      <c r="J77" s="36">
        <v>0</v>
      </c>
      <c r="K77" s="36"/>
      <c r="L77" s="36">
        <v>0</v>
      </c>
      <c r="M77" s="36">
        <v>0</v>
      </c>
      <c r="N77" s="36">
        <v>0</v>
      </c>
      <c r="O77" s="72"/>
      <c r="P77" s="36">
        <f t="shared" ref="P77:Q80" si="50">+D77+H77+L77</f>
        <v>67067368</v>
      </c>
      <c r="Q77" s="36">
        <f t="shared" si="50"/>
        <v>135923858</v>
      </c>
      <c r="R77" s="36">
        <f t="shared" ref="R77:R80" si="51">+F77+J77+N77</f>
        <v>67067368</v>
      </c>
      <c r="S77" s="71">
        <f t="shared" ref="S77" si="52">+R77/Q77</f>
        <v>0.49341866090940417</v>
      </c>
    </row>
    <row r="78" spans="1:19" x14ac:dyDescent="0.25">
      <c r="A78" s="8" t="s">
        <v>240</v>
      </c>
      <c r="B78" s="6" t="s">
        <v>202</v>
      </c>
      <c r="C78" s="4" t="s">
        <v>215</v>
      </c>
      <c r="D78" s="36">
        <v>0</v>
      </c>
      <c r="E78" s="36">
        <v>0</v>
      </c>
      <c r="F78" s="36">
        <v>0</v>
      </c>
      <c r="G78" s="36"/>
      <c r="H78" s="36">
        <v>0</v>
      </c>
      <c r="I78" s="36">
        <v>0</v>
      </c>
      <c r="J78" s="36">
        <v>0</v>
      </c>
      <c r="K78" s="36"/>
      <c r="L78" s="36">
        <v>0</v>
      </c>
      <c r="M78" s="36">
        <v>0</v>
      </c>
      <c r="N78" s="36">
        <v>0</v>
      </c>
      <c r="O78" s="72"/>
      <c r="P78" s="36">
        <f t="shared" si="50"/>
        <v>0</v>
      </c>
      <c r="Q78" s="36">
        <f t="shared" si="50"/>
        <v>0</v>
      </c>
      <c r="R78" s="36">
        <f t="shared" si="51"/>
        <v>0</v>
      </c>
      <c r="S78" s="72"/>
    </row>
    <row r="79" spans="1:19" x14ac:dyDescent="0.25">
      <c r="A79" s="8" t="s">
        <v>241</v>
      </c>
      <c r="B79" s="6" t="s">
        <v>48</v>
      </c>
      <c r="C79" s="4" t="s">
        <v>216</v>
      </c>
      <c r="D79" s="36">
        <v>0</v>
      </c>
      <c r="E79" s="36">
        <v>0</v>
      </c>
      <c r="F79" s="36">
        <v>0</v>
      </c>
      <c r="G79" s="36"/>
      <c r="H79" s="36">
        <v>0</v>
      </c>
      <c r="I79" s="36">
        <v>0</v>
      </c>
      <c r="J79" s="36">
        <v>0</v>
      </c>
      <c r="K79" s="36"/>
      <c r="L79" s="36">
        <v>0</v>
      </c>
      <c r="M79" s="36">
        <v>0</v>
      </c>
      <c r="N79" s="36">
        <v>0</v>
      </c>
      <c r="O79" s="72"/>
      <c r="P79" s="36">
        <f t="shared" si="50"/>
        <v>0</v>
      </c>
      <c r="Q79" s="36">
        <f t="shared" si="50"/>
        <v>0</v>
      </c>
      <c r="R79" s="36">
        <f t="shared" si="51"/>
        <v>0</v>
      </c>
      <c r="S79" s="72"/>
    </row>
    <row r="80" spans="1:19" x14ac:dyDescent="0.25">
      <c r="A80" s="8" t="s">
        <v>242</v>
      </c>
      <c r="B80" s="6" t="s">
        <v>203</v>
      </c>
      <c r="C80" s="4" t="s">
        <v>217</v>
      </c>
      <c r="D80" s="36">
        <v>0</v>
      </c>
      <c r="E80" s="36">
        <v>0</v>
      </c>
      <c r="F80" s="36">
        <v>0</v>
      </c>
      <c r="G80" s="36"/>
      <c r="H80" s="36">
        <v>0</v>
      </c>
      <c r="I80" s="36">
        <v>0</v>
      </c>
      <c r="J80" s="36">
        <v>0</v>
      </c>
      <c r="K80" s="36"/>
      <c r="L80" s="36">
        <v>0</v>
      </c>
      <c r="M80" s="36">
        <v>0</v>
      </c>
      <c r="N80" s="36">
        <v>0</v>
      </c>
      <c r="O80" s="72"/>
      <c r="P80" s="36">
        <f t="shared" si="50"/>
        <v>0</v>
      </c>
      <c r="Q80" s="36">
        <f t="shared" si="50"/>
        <v>0</v>
      </c>
      <c r="R80" s="36">
        <f t="shared" si="51"/>
        <v>0</v>
      </c>
      <c r="S80" s="72"/>
    </row>
    <row r="81" spans="1:19" x14ac:dyDescent="0.25">
      <c r="A81" s="8" t="s">
        <v>243</v>
      </c>
      <c r="B81" s="30" t="s">
        <v>232</v>
      </c>
      <c r="C81" s="24" t="s">
        <v>218</v>
      </c>
      <c r="D81" s="37">
        <f>SUM(D77:D80)</f>
        <v>67067368</v>
      </c>
      <c r="E81" s="37">
        <f t="shared" ref="E81:Q81" si="53">SUM(E77:E80)</f>
        <v>135923858</v>
      </c>
      <c r="F81" s="37">
        <f t="shared" si="53"/>
        <v>67067368</v>
      </c>
      <c r="G81" s="64">
        <f>+F81/E81</f>
        <v>0.49341866090940417</v>
      </c>
      <c r="H81" s="37">
        <f t="shared" si="53"/>
        <v>0</v>
      </c>
      <c r="I81" s="37">
        <f t="shared" si="53"/>
        <v>0</v>
      </c>
      <c r="J81" s="37"/>
      <c r="K81" s="37"/>
      <c r="L81" s="37">
        <f t="shared" si="53"/>
        <v>0</v>
      </c>
      <c r="M81" s="37">
        <f t="shared" si="53"/>
        <v>0</v>
      </c>
      <c r="N81" s="37">
        <f t="shared" si="53"/>
        <v>0</v>
      </c>
      <c r="O81" s="37"/>
      <c r="P81" s="37">
        <f t="shared" si="53"/>
        <v>67067368</v>
      </c>
      <c r="Q81" s="37">
        <f t="shared" si="53"/>
        <v>135923858</v>
      </c>
      <c r="R81" s="37">
        <f t="shared" ref="R81" si="54">SUM(R77:R80)</f>
        <v>67067368</v>
      </c>
      <c r="S81" s="64">
        <f>+R81/Q81</f>
        <v>0.49341866090940417</v>
      </c>
    </row>
    <row r="82" spans="1:19" x14ac:dyDescent="0.25">
      <c r="A82" s="8" t="s">
        <v>244</v>
      </c>
      <c r="B82" s="6" t="s">
        <v>229</v>
      </c>
      <c r="C82" s="4" t="s">
        <v>219</v>
      </c>
      <c r="D82" s="36">
        <v>250792042</v>
      </c>
      <c r="E82" s="36">
        <v>250758917</v>
      </c>
      <c r="F82" s="36">
        <v>250758917</v>
      </c>
      <c r="G82" s="63">
        <f t="shared" ref="G82" si="55">+F82/E82</f>
        <v>1</v>
      </c>
      <c r="H82" s="36">
        <v>1193633</v>
      </c>
      <c r="I82" s="36">
        <v>1193638</v>
      </c>
      <c r="J82" s="36">
        <v>1193638</v>
      </c>
      <c r="K82" s="68">
        <f>+J82/I82</f>
        <v>1</v>
      </c>
      <c r="L82" s="36">
        <v>710362</v>
      </c>
      <c r="M82" s="36">
        <v>710369</v>
      </c>
      <c r="N82" s="36">
        <v>710369</v>
      </c>
      <c r="O82" s="71">
        <f>+N82/M82</f>
        <v>1</v>
      </c>
      <c r="P82" s="36">
        <f>+D82+H82+L82</f>
        <v>252696037</v>
      </c>
      <c r="Q82" s="36">
        <f>+E82+I82+M82</f>
        <v>252662924</v>
      </c>
      <c r="R82" s="36">
        <f t="shared" ref="R82:R89" si="56">+F82+J82+N82</f>
        <v>252662924</v>
      </c>
      <c r="S82" s="71">
        <f t="shared" ref="S82" si="57">+R82/Q82</f>
        <v>1</v>
      </c>
    </row>
    <row r="83" spans="1:19" x14ac:dyDescent="0.25">
      <c r="A83" s="8" t="s">
        <v>245</v>
      </c>
      <c r="B83" s="6" t="s">
        <v>230</v>
      </c>
      <c r="C83" s="4" t="s">
        <v>220</v>
      </c>
      <c r="D83" s="36">
        <v>0</v>
      </c>
      <c r="E83" s="36">
        <v>0</v>
      </c>
      <c r="F83" s="36">
        <v>0</v>
      </c>
      <c r="G83" s="36"/>
      <c r="H83" s="36">
        <v>0</v>
      </c>
      <c r="I83" s="36">
        <v>0</v>
      </c>
      <c r="J83" s="36">
        <v>0</v>
      </c>
      <c r="K83" s="36"/>
      <c r="L83" s="36">
        <v>0</v>
      </c>
      <c r="M83" s="36">
        <v>0</v>
      </c>
      <c r="N83" s="36">
        <v>0</v>
      </c>
      <c r="O83" s="72"/>
      <c r="P83" s="36">
        <f>+D83+H83+L83</f>
        <v>0</v>
      </c>
      <c r="Q83" s="36">
        <f>+E83+I83+M83</f>
        <v>0</v>
      </c>
      <c r="R83" s="36">
        <f t="shared" si="56"/>
        <v>0</v>
      </c>
      <c r="S83" s="72"/>
    </row>
    <row r="84" spans="1:19" x14ac:dyDescent="0.25">
      <c r="A84" s="8" t="s">
        <v>246</v>
      </c>
      <c r="B84" s="30" t="s">
        <v>204</v>
      </c>
      <c r="C84" s="24" t="s">
        <v>221</v>
      </c>
      <c r="D84" s="37">
        <f>SUM(D82:D83)</f>
        <v>250792042</v>
      </c>
      <c r="E84" s="37">
        <f t="shared" ref="E84:Q84" si="58">SUM(E82:E83)</f>
        <v>250758917</v>
      </c>
      <c r="F84" s="37">
        <f t="shared" si="58"/>
        <v>250758917</v>
      </c>
      <c r="G84" s="64">
        <f>+F84/E84</f>
        <v>1</v>
      </c>
      <c r="H84" s="37">
        <f t="shared" si="58"/>
        <v>1193633</v>
      </c>
      <c r="I84" s="37">
        <f t="shared" si="58"/>
        <v>1193638</v>
      </c>
      <c r="J84" s="37">
        <f t="shared" si="58"/>
        <v>1193638</v>
      </c>
      <c r="K84" s="66">
        <f>+J84/I84</f>
        <v>1</v>
      </c>
      <c r="L84" s="37">
        <f t="shared" si="58"/>
        <v>710362</v>
      </c>
      <c r="M84" s="37">
        <f t="shared" si="58"/>
        <v>710369</v>
      </c>
      <c r="N84" s="37">
        <f t="shared" si="58"/>
        <v>710369</v>
      </c>
      <c r="O84" s="64">
        <f>+N84/M84</f>
        <v>1</v>
      </c>
      <c r="P84" s="37">
        <f t="shared" si="58"/>
        <v>252696037</v>
      </c>
      <c r="Q84" s="37">
        <f t="shared" si="58"/>
        <v>252662924</v>
      </c>
      <c r="R84" s="37">
        <f t="shared" ref="R84" si="59">SUM(R82:R83)</f>
        <v>252662924</v>
      </c>
      <c r="S84" s="64">
        <f>+R84/Q84</f>
        <v>1</v>
      </c>
    </row>
    <row r="85" spans="1:19" x14ac:dyDescent="0.25">
      <c r="A85" s="8" t="s">
        <v>247</v>
      </c>
      <c r="B85" s="6" t="s">
        <v>205</v>
      </c>
      <c r="C85" s="4" t="s">
        <v>222</v>
      </c>
      <c r="D85" s="36">
        <v>20065423</v>
      </c>
      <c r="E85" s="36">
        <v>20065423</v>
      </c>
      <c r="F85" s="36">
        <v>0</v>
      </c>
      <c r="G85" s="63">
        <f t="shared" ref="G85" si="60">+F85/E85</f>
        <v>0</v>
      </c>
      <c r="H85" s="36">
        <v>0</v>
      </c>
      <c r="I85" s="36">
        <v>0</v>
      </c>
      <c r="J85" s="36">
        <v>0</v>
      </c>
      <c r="K85" s="36"/>
      <c r="L85" s="36">
        <v>0</v>
      </c>
      <c r="M85" s="36">
        <v>0</v>
      </c>
      <c r="N85" s="36">
        <v>0</v>
      </c>
      <c r="O85" s="72"/>
      <c r="P85" s="36">
        <f t="shared" ref="P85:Q89" si="61">+D85+H85+L85</f>
        <v>20065423</v>
      </c>
      <c r="Q85" s="36">
        <f t="shared" si="61"/>
        <v>20065423</v>
      </c>
      <c r="R85" s="36">
        <f t="shared" si="56"/>
        <v>0</v>
      </c>
      <c r="S85" s="71">
        <f t="shared" ref="S85" si="62">+R85/Q85</f>
        <v>0</v>
      </c>
    </row>
    <row r="86" spans="1:19" x14ac:dyDescent="0.25">
      <c r="A86" s="8" t="s">
        <v>248</v>
      </c>
      <c r="B86" s="6" t="s">
        <v>206</v>
      </c>
      <c r="C86" s="4" t="s">
        <v>223</v>
      </c>
      <c r="D86" s="36">
        <v>0</v>
      </c>
      <c r="E86" s="36">
        <v>0</v>
      </c>
      <c r="F86" s="36">
        <v>0</v>
      </c>
      <c r="G86" s="36"/>
      <c r="H86" s="36">
        <v>0</v>
      </c>
      <c r="I86" s="36">
        <v>0</v>
      </c>
      <c r="J86" s="36">
        <v>0</v>
      </c>
      <c r="K86" s="36"/>
      <c r="L86" s="36">
        <v>0</v>
      </c>
      <c r="M86" s="36">
        <v>0</v>
      </c>
      <c r="N86" s="36">
        <v>0</v>
      </c>
      <c r="O86" s="72"/>
      <c r="P86" s="36">
        <f t="shared" si="61"/>
        <v>0</v>
      </c>
      <c r="Q86" s="36">
        <f t="shared" si="61"/>
        <v>0</v>
      </c>
      <c r="R86" s="36">
        <f t="shared" si="56"/>
        <v>0</v>
      </c>
      <c r="S86" s="72"/>
    </row>
    <row r="87" spans="1:19" x14ac:dyDescent="0.25">
      <c r="A87" s="8" t="s">
        <v>249</v>
      </c>
      <c r="B87" s="6" t="s">
        <v>207</v>
      </c>
      <c r="C87" s="4" t="s">
        <v>224</v>
      </c>
      <c r="D87" s="36">
        <v>0</v>
      </c>
      <c r="E87" s="36">
        <v>0</v>
      </c>
      <c r="F87" s="36">
        <v>0</v>
      </c>
      <c r="G87" s="36"/>
      <c r="H87" s="36">
        <v>0</v>
      </c>
      <c r="I87" s="36">
        <v>0</v>
      </c>
      <c r="J87" s="36">
        <v>0</v>
      </c>
      <c r="K87" s="36"/>
      <c r="L87" s="36">
        <v>0</v>
      </c>
      <c r="M87" s="36">
        <v>0</v>
      </c>
      <c r="N87" s="36">
        <v>0</v>
      </c>
      <c r="O87" s="72"/>
      <c r="P87" s="36">
        <f t="shared" si="61"/>
        <v>0</v>
      </c>
      <c r="Q87" s="36">
        <f t="shared" si="61"/>
        <v>0</v>
      </c>
      <c r="R87" s="36">
        <f t="shared" si="56"/>
        <v>0</v>
      </c>
      <c r="S87" s="72"/>
    </row>
    <row r="88" spans="1:19" x14ac:dyDescent="0.25">
      <c r="A88" s="8" t="s">
        <v>250</v>
      </c>
      <c r="B88" s="6" t="s">
        <v>208</v>
      </c>
      <c r="C88" s="4" t="s">
        <v>225</v>
      </c>
      <c r="D88" s="36">
        <v>0</v>
      </c>
      <c r="E88" s="36">
        <v>0</v>
      </c>
      <c r="F88" s="36">
        <v>0</v>
      </c>
      <c r="G88" s="36"/>
      <c r="H88" s="36">
        <v>0</v>
      </c>
      <c r="I88" s="36">
        <v>0</v>
      </c>
      <c r="J88" s="36">
        <v>0</v>
      </c>
      <c r="K88" s="36"/>
      <c r="L88" s="36">
        <v>0</v>
      </c>
      <c r="M88" s="36">
        <v>0</v>
      </c>
      <c r="N88" s="36">
        <v>0</v>
      </c>
      <c r="O88" s="72"/>
      <c r="P88" s="36">
        <f t="shared" si="61"/>
        <v>0</v>
      </c>
      <c r="Q88" s="36">
        <f t="shared" si="61"/>
        <v>0</v>
      </c>
      <c r="R88" s="36">
        <f t="shared" si="56"/>
        <v>0</v>
      </c>
      <c r="S88" s="72"/>
    </row>
    <row r="89" spans="1:19" x14ac:dyDescent="0.25">
      <c r="A89" s="8" t="s">
        <v>251</v>
      </c>
      <c r="B89" s="6" t="s">
        <v>209</v>
      </c>
      <c r="C89" s="4" t="s">
        <v>226</v>
      </c>
      <c r="D89" s="36">
        <v>0</v>
      </c>
      <c r="E89" s="36">
        <v>0</v>
      </c>
      <c r="F89" s="36">
        <v>0</v>
      </c>
      <c r="G89" s="36"/>
      <c r="H89" s="36">
        <v>0</v>
      </c>
      <c r="I89" s="36">
        <v>0</v>
      </c>
      <c r="J89" s="36">
        <v>0</v>
      </c>
      <c r="K89" s="36"/>
      <c r="L89" s="36">
        <v>0</v>
      </c>
      <c r="M89" s="36">
        <v>0</v>
      </c>
      <c r="N89" s="36">
        <v>0</v>
      </c>
      <c r="O89" s="72"/>
      <c r="P89" s="36">
        <f t="shared" si="61"/>
        <v>0</v>
      </c>
      <c r="Q89" s="36">
        <f t="shared" si="61"/>
        <v>0</v>
      </c>
      <c r="R89" s="36">
        <f t="shared" si="56"/>
        <v>0</v>
      </c>
      <c r="S89" s="72"/>
    </row>
    <row r="90" spans="1:19" x14ac:dyDescent="0.25">
      <c r="A90" s="8" t="s">
        <v>252</v>
      </c>
      <c r="B90" s="30" t="s">
        <v>231</v>
      </c>
      <c r="C90" s="24" t="s">
        <v>227</v>
      </c>
      <c r="D90" s="37">
        <f>SUM(D85:D89)</f>
        <v>20065423</v>
      </c>
      <c r="E90" s="37">
        <f t="shared" ref="E90:Q90" si="63">SUM(E85:E89)</f>
        <v>20065423</v>
      </c>
      <c r="F90" s="37">
        <f t="shared" si="63"/>
        <v>0</v>
      </c>
      <c r="G90" s="64">
        <f>+F90/E90</f>
        <v>0</v>
      </c>
      <c r="H90" s="37">
        <f t="shared" si="63"/>
        <v>0</v>
      </c>
      <c r="I90" s="37">
        <f t="shared" si="63"/>
        <v>0</v>
      </c>
      <c r="J90" s="37">
        <f t="shared" si="63"/>
        <v>0</v>
      </c>
      <c r="K90" s="37"/>
      <c r="L90" s="37">
        <f t="shared" si="63"/>
        <v>0</v>
      </c>
      <c r="M90" s="37">
        <f t="shared" si="63"/>
        <v>0</v>
      </c>
      <c r="N90" s="37">
        <f t="shared" si="63"/>
        <v>0</v>
      </c>
      <c r="O90" s="37"/>
      <c r="P90" s="37">
        <f t="shared" si="63"/>
        <v>20065423</v>
      </c>
      <c r="Q90" s="37">
        <f t="shared" si="63"/>
        <v>20065423</v>
      </c>
      <c r="R90" s="37">
        <f t="shared" ref="R90" si="64">SUM(R85:R89)</f>
        <v>0</v>
      </c>
      <c r="S90" s="64">
        <f>+R90/Q90</f>
        <v>0</v>
      </c>
    </row>
    <row r="91" spans="1:19" x14ac:dyDescent="0.25">
      <c r="A91" s="8" t="s">
        <v>253</v>
      </c>
      <c r="B91" s="9" t="s">
        <v>477</v>
      </c>
      <c r="C91" s="10" t="s">
        <v>228</v>
      </c>
      <c r="D91" s="38">
        <f>+D76+D81+D84+D90</f>
        <v>337924833</v>
      </c>
      <c r="E91" s="38">
        <f t="shared" ref="E91:Q91" si="65">+E76+E81+E84+E90</f>
        <v>406748198</v>
      </c>
      <c r="F91" s="38">
        <f t="shared" si="65"/>
        <v>317826285</v>
      </c>
      <c r="G91" s="65">
        <f>+F91/E91</f>
        <v>0.78138338796033213</v>
      </c>
      <c r="H91" s="38">
        <f t="shared" si="65"/>
        <v>1193633</v>
      </c>
      <c r="I91" s="38">
        <f t="shared" si="65"/>
        <v>1193638</v>
      </c>
      <c r="J91" s="38">
        <f t="shared" si="65"/>
        <v>1193638</v>
      </c>
      <c r="K91" s="65">
        <f>+J91/I91</f>
        <v>1</v>
      </c>
      <c r="L91" s="38">
        <f t="shared" si="65"/>
        <v>710362</v>
      </c>
      <c r="M91" s="38">
        <f t="shared" si="65"/>
        <v>710369</v>
      </c>
      <c r="N91" s="38">
        <f t="shared" si="65"/>
        <v>710369</v>
      </c>
      <c r="O91" s="65">
        <f>+N91/M91</f>
        <v>1</v>
      </c>
      <c r="P91" s="38">
        <f t="shared" si="65"/>
        <v>339828828</v>
      </c>
      <c r="Q91" s="38">
        <f t="shared" si="65"/>
        <v>408652205</v>
      </c>
      <c r="R91" s="38">
        <f t="shared" ref="R91" si="66">+R76+R81+R84+R90</f>
        <v>319730292</v>
      </c>
      <c r="S91" s="65">
        <f>+R91/Q91</f>
        <v>0.78240197431456415</v>
      </c>
    </row>
    <row r="92" spans="1:19" x14ac:dyDescent="0.25"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57"/>
      <c r="P92" s="39"/>
      <c r="Q92" s="39"/>
      <c r="R92" s="39"/>
      <c r="S92" s="57"/>
    </row>
    <row r="93" spans="1:19" x14ac:dyDescent="0.25">
      <c r="A93" s="8" t="s">
        <v>254</v>
      </c>
      <c r="B93" s="10" t="s">
        <v>478</v>
      </c>
      <c r="C93" s="10" t="s">
        <v>473</v>
      </c>
      <c r="D93" s="38">
        <f>+D66+D91</f>
        <v>1758858039</v>
      </c>
      <c r="E93" s="38">
        <f t="shared" ref="E93:Q93" si="67">+E66+E91</f>
        <v>1863572581</v>
      </c>
      <c r="F93" s="38">
        <f t="shared" si="67"/>
        <v>839486869</v>
      </c>
      <c r="G93" s="65">
        <f>+F93/E93</f>
        <v>0.45047178605167509</v>
      </c>
      <c r="H93" s="38">
        <f t="shared" si="67"/>
        <v>1333833</v>
      </c>
      <c r="I93" s="38">
        <f t="shared" si="67"/>
        <v>6187546</v>
      </c>
      <c r="J93" s="38">
        <f t="shared" si="67"/>
        <v>5563727</v>
      </c>
      <c r="K93" s="65">
        <f>+J93/I93</f>
        <v>0.89918151719599337</v>
      </c>
      <c r="L93" s="38">
        <f t="shared" si="67"/>
        <v>3634356</v>
      </c>
      <c r="M93" s="38">
        <f t="shared" si="67"/>
        <v>3634368</v>
      </c>
      <c r="N93" s="38">
        <f t="shared" si="67"/>
        <v>2800580</v>
      </c>
      <c r="O93" s="65">
        <f>+N93/M93</f>
        <v>0.77058239561871555</v>
      </c>
      <c r="P93" s="38">
        <f t="shared" si="67"/>
        <v>1763826228</v>
      </c>
      <c r="Q93" s="38">
        <f t="shared" si="67"/>
        <v>1873394495</v>
      </c>
      <c r="R93" s="38">
        <f t="shared" ref="R93" si="68">+R66+R91</f>
        <v>847851176</v>
      </c>
      <c r="S93" s="65">
        <f>+R93/Q93</f>
        <v>0.4525748198059053</v>
      </c>
    </row>
    <row r="96" spans="1:19" x14ac:dyDescent="0.25">
      <c r="H96" s="39">
        <f>+H93+L93</f>
        <v>4968189</v>
      </c>
      <c r="I96" s="39">
        <f>+I93+M93</f>
        <v>9821914</v>
      </c>
      <c r="J96" s="39"/>
      <c r="K96" s="39"/>
    </row>
  </sheetData>
  <mergeCells count="35">
    <mergeCell ref="D9:E9"/>
    <mergeCell ref="H9:I9"/>
    <mergeCell ref="L9:M9"/>
    <mergeCell ref="P9:Q9"/>
    <mergeCell ref="D7:G7"/>
    <mergeCell ref="F8:G9"/>
    <mergeCell ref="H7:K7"/>
    <mergeCell ref="J8:K9"/>
    <mergeCell ref="A69:A72"/>
    <mergeCell ref="B70:B72"/>
    <mergeCell ref="C70:C72"/>
    <mergeCell ref="C7:C9"/>
    <mergeCell ref="B7:B9"/>
    <mergeCell ref="A6:A9"/>
    <mergeCell ref="N71:O72"/>
    <mergeCell ref="D72:E72"/>
    <mergeCell ref="H72:I72"/>
    <mergeCell ref="L72:M72"/>
    <mergeCell ref="P72:Q72"/>
    <mergeCell ref="A1:S1"/>
    <mergeCell ref="A2:S2"/>
    <mergeCell ref="A3:S3"/>
    <mergeCell ref="R8:S9"/>
    <mergeCell ref="R71:S72"/>
    <mergeCell ref="P7:S7"/>
    <mergeCell ref="P70:S70"/>
    <mergeCell ref="A5:S5"/>
    <mergeCell ref="A68:S68"/>
    <mergeCell ref="J71:K72"/>
    <mergeCell ref="F71:G72"/>
    <mergeCell ref="D70:G70"/>
    <mergeCell ref="H70:K70"/>
    <mergeCell ref="L7:O7"/>
    <mergeCell ref="N8:O9"/>
    <mergeCell ref="L70:O7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ignoredErrors>
    <ignoredError sqref="Q47 G23 G17 G29 G33 G47 G53 G59 G65:G66 G84 G81 G90:G91 G93 K23 K47 K66 K84 K93 K91 O47 O66 O84 O91 O93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A69B-42EF-402A-AE14-5148200EFD65}">
  <sheetPr>
    <pageSetUpPr fitToPage="1"/>
  </sheetPr>
  <dimension ref="A1:S130"/>
  <sheetViews>
    <sheetView workbookViewId="0">
      <pane ySplit="9" topLeftCell="A10" activePane="bottomLeft" state="frozen"/>
      <selection pane="bottomLeft" activeCell="K56" sqref="K56"/>
    </sheetView>
  </sheetViews>
  <sheetFormatPr defaultRowHeight="15" x14ac:dyDescent="0.25"/>
  <cols>
    <col min="1" max="1" width="8.42578125" style="7" customWidth="1"/>
    <col min="2" max="2" width="48" customWidth="1"/>
    <col min="3" max="3" width="7.5703125" customWidth="1"/>
    <col min="4" max="6" width="12.7109375" customWidth="1"/>
    <col min="7" max="7" width="7.85546875" style="19" customWidth="1"/>
    <col min="8" max="10" width="12.7109375" customWidth="1"/>
    <col min="11" max="11" width="8.140625" style="19" customWidth="1"/>
    <col min="12" max="14" width="12.7109375" customWidth="1"/>
    <col min="15" max="15" width="7.28515625" style="76" customWidth="1"/>
    <col min="16" max="18" width="12.7109375" customWidth="1"/>
    <col min="19" max="19" width="7.85546875" style="19" customWidth="1"/>
    <col min="22" max="22" width="10" bestFit="1" customWidth="1"/>
  </cols>
  <sheetData>
    <row r="1" spans="1:19" x14ac:dyDescent="0.25">
      <c r="A1" s="92" t="s">
        <v>590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x14ac:dyDescent="0.25">
      <c r="A2" s="92" t="s">
        <v>479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3" spans="1:19" x14ac:dyDescent="0.25">
      <c r="A3" s="92" t="s">
        <v>591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</row>
    <row r="5" spans="1:19" ht="18.75" x14ac:dyDescent="0.25">
      <c r="A5" s="125" t="s">
        <v>481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18"/>
      <c r="S5" s="118"/>
    </row>
    <row r="6" spans="1:19" x14ac:dyDescent="0.25">
      <c r="A6" s="115" t="s">
        <v>0</v>
      </c>
      <c r="B6" s="4" t="s">
        <v>1</v>
      </c>
      <c r="C6" s="4" t="s">
        <v>2</v>
      </c>
      <c r="D6" s="2" t="s">
        <v>3</v>
      </c>
      <c r="E6" s="2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55</v>
      </c>
      <c r="L6" s="13" t="s">
        <v>582</v>
      </c>
      <c r="M6" s="13" t="s">
        <v>583</v>
      </c>
      <c r="N6" s="13" t="s">
        <v>584</v>
      </c>
      <c r="O6" s="13" t="s">
        <v>585</v>
      </c>
      <c r="P6" s="13" t="s">
        <v>586</v>
      </c>
      <c r="Q6" s="13" t="s">
        <v>587</v>
      </c>
      <c r="R6" s="13" t="s">
        <v>588</v>
      </c>
      <c r="S6" s="13" t="s">
        <v>589</v>
      </c>
    </row>
    <row r="7" spans="1:19" ht="45.75" customHeight="1" x14ac:dyDescent="0.25">
      <c r="A7" s="115"/>
      <c r="B7" s="115" t="s">
        <v>10</v>
      </c>
      <c r="C7" s="115" t="s">
        <v>54</v>
      </c>
      <c r="D7" s="94" t="s">
        <v>16</v>
      </c>
      <c r="E7" s="95"/>
      <c r="F7" s="96"/>
      <c r="G7" s="97"/>
      <c r="H7" s="94" t="s">
        <v>15</v>
      </c>
      <c r="I7" s="95"/>
      <c r="J7" s="96"/>
      <c r="K7" s="97"/>
      <c r="L7" s="105" t="s">
        <v>539</v>
      </c>
      <c r="M7" s="121"/>
      <c r="N7" s="96"/>
      <c r="O7" s="97"/>
      <c r="P7" s="94" t="s">
        <v>43</v>
      </c>
      <c r="Q7" s="95"/>
      <c r="R7" s="101"/>
      <c r="S7" s="101"/>
    </row>
    <row r="8" spans="1:19" x14ac:dyDescent="0.25">
      <c r="A8" s="115"/>
      <c r="B8" s="124"/>
      <c r="C8" s="124"/>
      <c r="D8" s="1" t="s">
        <v>11</v>
      </c>
      <c r="E8" s="1" t="s">
        <v>12</v>
      </c>
      <c r="F8" s="98" t="s">
        <v>581</v>
      </c>
      <c r="G8" s="99"/>
      <c r="H8" s="1" t="s">
        <v>11</v>
      </c>
      <c r="I8" s="1" t="s">
        <v>12</v>
      </c>
      <c r="J8" s="98" t="s">
        <v>581</v>
      </c>
      <c r="K8" s="99"/>
      <c r="L8" s="1" t="s">
        <v>11</v>
      </c>
      <c r="M8" s="1" t="s">
        <v>12</v>
      </c>
      <c r="N8" s="98" t="s">
        <v>581</v>
      </c>
      <c r="O8" s="99"/>
      <c r="P8" s="1" t="s">
        <v>11</v>
      </c>
      <c r="Q8" s="1" t="s">
        <v>12</v>
      </c>
      <c r="R8" s="98" t="s">
        <v>581</v>
      </c>
      <c r="S8" s="99"/>
    </row>
    <row r="9" spans="1:19" x14ac:dyDescent="0.25">
      <c r="A9" s="115"/>
      <c r="B9" s="124"/>
      <c r="C9" s="124"/>
      <c r="D9" s="112" t="s">
        <v>13</v>
      </c>
      <c r="E9" s="113"/>
      <c r="F9" s="100"/>
      <c r="G9" s="100"/>
      <c r="H9" s="112" t="s">
        <v>13</v>
      </c>
      <c r="I9" s="112"/>
      <c r="J9" s="100"/>
      <c r="K9" s="100"/>
      <c r="L9" s="112" t="s">
        <v>13</v>
      </c>
      <c r="M9" s="112"/>
      <c r="N9" s="100"/>
      <c r="O9" s="100"/>
      <c r="P9" s="112" t="s">
        <v>13</v>
      </c>
      <c r="Q9" s="112"/>
      <c r="R9" s="100"/>
      <c r="S9" s="100"/>
    </row>
    <row r="10" spans="1:19" x14ac:dyDescent="0.25">
      <c r="A10" s="8" t="s">
        <v>17</v>
      </c>
      <c r="B10" s="53" t="s">
        <v>261</v>
      </c>
      <c r="C10" s="4" t="s">
        <v>330</v>
      </c>
      <c r="D10" s="36">
        <v>90000000</v>
      </c>
      <c r="E10" s="36">
        <v>90000000</v>
      </c>
      <c r="F10" s="36">
        <v>43719483</v>
      </c>
      <c r="G10" s="71">
        <f>+F10/E10</f>
        <v>0.48577203333333335</v>
      </c>
      <c r="H10" s="36">
        <f>114026000+1000000-3</f>
        <v>115025997</v>
      </c>
      <c r="I10" s="36">
        <f>114026000+1000000-3</f>
        <v>115025997</v>
      </c>
      <c r="J10" s="36">
        <v>54153218</v>
      </c>
      <c r="K10" s="71">
        <f>+J10/I10</f>
        <v>0.47079112037603116</v>
      </c>
      <c r="L10" s="36">
        <f>265000000-940000</f>
        <v>264060000</v>
      </c>
      <c r="M10" s="36">
        <f>265000000-940000</f>
        <v>264060000</v>
      </c>
      <c r="N10" s="36">
        <v>120307370</v>
      </c>
      <c r="O10" s="68">
        <f>+N10/M10</f>
        <v>0.45560618798757857</v>
      </c>
      <c r="P10" s="36">
        <f>+D10+H10+L10</f>
        <v>469085997</v>
      </c>
      <c r="Q10" s="36">
        <f>+E10+I10+M10</f>
        <v>469085997</v>
      </c>
      <c r="R10" s="36">
        <f>+F10+J10+N10</f>
        <v>218180071</v>
      </c>
      <c r="S10" s="71">
        <f>+R10/Q10</f>
        <v>0.46511742493988795</v>
      </c>
    </row>
    <row r="11" spans="1:19" x14ac:dyDescent="0.25">
      <c r="A11" s="8" t="s">
        <v>18</v>
      </c>
      <c r="B11" s="53" t="s">
        <v>262</v>
      </c>
      <c r="C11" s="4" t="s">
        <v>331</v>
      </c>
      <c r="D11" s="36">
        <v>0</v>
      </c>
      <c r="E11" s="36">
        <v>0</v>
      </c>
      <c r="F11" s="36">
        <v>0</v>
      </c>
      <c r="G11" s="72"/>
      <c r="H11" s="36">
        <v>0</v>
      </c>
      <c r="I11" s="36">
        <v>1701279</v>
      </c>
      <c r="J11" s="36">
        <v>1701279</v>
      </c>
      <c r="K11" s="71">
        <f t="shared" ref="K11:K12" si="0">+J11/I11</f>
        <v>1</v>
      </c>
      <c r="L11" s="36">
        <v>0</v>
      </c>
      <c r="M11" s="36">
        <v>0</v>
      </c>
      <c r="N11" s="36">
        <v>0</v>
      </c>
      <c r="O11" s="69"/>
      <c r="P11" s="36">
        <f t="shared" ref="P11:P26" si="1">+D11+H11+L11</f>
        <v>0</v>
      </c>
      <c r="Q11" s="36">
        <f t="shared" ref="Q11:Q26" si="2">+E11+I11+M11</f>
        <v>1701279</v>
      </c>
      <c r="R11" s="36">
        <f t="shared" ref="R11:R26" si="3">+F11+J11+N11</f>
        <v>1701279</v>
      </c>
      <c r="S11" s="71">
        <f t="shared" ref="S11:S13" si="4">+R11/Q11</f>
        <v>1</v>
      </c>
    </row>
    <row r="12" spans="1:19" x14ac:dyDescent="0.25">
      <c r="A12" s="8" t="s">
        <v>19</v>
      </c>
      <c r="B12" s="53" t="s">
        <v>263</v>
      </c>
      <c r="C12" s="4" t="s">
        <v>332</v>
      </c>
      <c r="D12" s="36">
        <v>9000000</v>
      </c>
      <c r="E12" s="36">
        <v>9000000</v>
      </c>
      <c r="F12" s="36">
        <v>2071106</v>
      </c>
      <c r="G12" s="71">
        <f>+F12/E12</f>
        <v>0.23012288888888888</v>
      </c>
      <c r="H12" s="36">
        <v>9600000</v>
      </c>
      <c r="I12" s="36">
        <v>9600000</v>
      </c>
      <c r="J12" s="36">
        <v>3388440</v>
      </c>
      <c r="K12" s="71">
        <f t="shared" si="0"/>
        <v>0.35296250000000001</v>
      </c>
      <c r="L12" s="36">
        <v>11428000</v>
      </c>
      <c r="M12" s="36">
        <v>11428000</v>
      </c>
      <c r="N12" s="36">
        <v>3563680</v>
      </c>
      <c r="O12" s="68">
        <f>+N12/M12</f>
        <v>0.31183759187959398</v>
      </c>
      <c r="P12" s="36">
        <f t="shared" si="1"/>
        <v>30028000</v>
      </c>
      <c r="Q12" s="36">
        <f t="shared" si="2"/>
        <v>30028000</v>
      </c>
      <c r="R12" s="36">
        <f t="shared" si="3"/>
        <v>9023226</v>
      </c>
      <c r="S12" s="71">
        <f t="shared" si="4"/>
        <v>0.30049373917676836</v>
      </c>
    </row>
    <row r="13" spans="1:19" ht="30" x14ac:dyDescent="0.25">
      <c r="A13" s="8" t="s">
        <v>20</v>
      </c>
      <c r="B13" s="53" t="s">
        <v>264</v>
      </c>
      <c r="C13" s="4" t="s">
        <v>333</v>
      </c>
      <c r="D13" s="36">
        <v>0</v>
      </c>
      <c r="E13" s="36">
        <v>0</v>
      </c>
      <c r="F13" s="36">
        <v>0</v>
      </c>
      <c r="G13" s="72"/>
      <c r="H13" s="36">
        <v>0</v>
      </c>
      <c r="I13" s="36">
        <v>0</v>
      </c>
      <c r="J13" s="36">
        <v>0</v>
      </c>
      <c r="K13" s="72"/>
      <c r="L13" s="36">
        <v>4000000</v>
      </c>
      <c r="M13" s="36">
        <v>4000000</v>
      </c>
      <c r="N13" s="36">
        <v>2216486</v>
      </c>
      <c r="O13" s="68">
        <f>+N13/M13</f>
        <v>0.55412150000000004</v>
      </c>
      <c r="P13" s="36">
        <f t="shared" si="1"/>
        <v>4000000</v>
      </c>
      <c r="Q13" s="36">
        <f t="shared" si="2"/>
        <v>4000000</v>
      </c>
      <c r="R13" s="36">
        <f t="shared" si="3"/>
        <v>2216486</v>
      </c>
      <c r="S13" s="71">
        <f t="shared" si="4"/>
        <v>0.55412150000000004</v>
      </c>
    </row>
    <row r="14" spans="1:19" x14ac:dyDescent="0.25">
      <c r="A14" s="8" t="s">
        <v>21</v>
      </c>
      <c r="B14" s="53" t="s">
        <v>265</v>
      </c>
      <c r="C14" s="4" t="s">
        <v>334</v>
      </c>
      <c r="D14" s="36">
        <v>0</v>
      </c>
      <c r="E14" s="36">
        <v>0</v>
      </c>
      <c r="F14" s="36">
        <v>0</v>
      </c>
      <c r="G14" s="72"/>
      <c r="H14" s="36">
        <v>0</v>
      </c>
      <c r="I14" s="36">
        <v>0</v>
      </c>
      <c r="J14" s="36">
        <v>0</v>
      </c>
      <c r="K14" s="72"/>
      <c r="L14" s="36">
        <v>0</v>
      </c>
      <c r="M14" s="36">
        <v>0</v>
      </c>
      <c r="N14" s="36">
        <v>0</v>
      </c>
      <c r="O14" s="69"/>
      <c r="P14" s="36">
        <f t="shared" si="1"/>
        <v>0</v>
      </c>
      <c r="Q14" s="36">
        <f t="shared" si="2"/>
        <v>0</v>
      </c>
      <c r="R14" s="36">
        <f t="shared" si="3"/>
        <v>0</v>
      </c>
      <c r="S14" s="72"/>
    </row>
    <row r="15" spans="1:19" x14ac:dyDescent="0.25">
      <c r="A15" s="8" t="s">
        <v>22</v>
      </c>
      <c r="B15" s="53" t="s">
        <v>266</v>
      </c>
      <c r="C15" s="4" t="s">
        <v>335</v>
      </c>
      <c r="D15" s="36">
        <v>0</v>
      </c>
      <c r="E15" s="36">
        <v>0</v>
      </c>
      <c r="F15" s="36">
        <v>0</v>
      </c>
      <c r="G15" s="72"/>
      <c r="H15" s="36">
        <v>0</v>
      </c>
      <c r="I15" s="36">
        <v>0</v>
      </c>
      <c r="J15" s="36">
        <v>0</v>
      </c>
      <c r="K15" s="72"/>
      <c r="L15" s="36">
        <v>1840000</v>
      </c>
      <c r="M15" s="36">
        <v>1840000</v>
      </c>
      <c r="N15" s="36">
        <v>850160</v>
      </c>
      <c r="O15" s="68">
        <f>+N15/M15</f>
        <v>0.46204347826086956</v>
      </c>
      <c r="P15" s="36">
        <f t="shared" si="1"/>
        <v>1840000</v>
      </c>
      <c r="Q15" s="36">
        <f t="shared" si="2"/>
        <v>1840000</v>
      </c>
      <c r="R15" s="36">
        <f t="shared" si="3"/>
        <v>850160</v>
      </c>
      <c r="S15" s="71">
        <f>+R15/Q15</f>
        <v>0.46204347826086956</v>
      </c>
    </row>
    <row r="16" spans="1:19" x14ac:dyDescent="0.25">
      <c r="A16" s="8" t="s">
        <v>23</v>
      </c>
      <c r="B16" s="53" t="s">
        <v>267</v>
      </c>
      <c r="C16" s="4" t="s">
        <v>336</v>
      </c>
      <c r="D16" s="36">
        <f>3500000+2500000</f>
        <v>6000000</v>
      </c>
      <c r="E16" s="36">
        <f>3500000+2500000</f>
        <v>6000000</v>
      </c>
      <c r="F16" s="36">
        <v>3916000</v>
      </c>
      <c r="G16" s="71">
        <f>+F16/E16</f>
        <v>0.65266666666666662</v>
      </c>
      <c r="H16" s="36">
        <f>5520000+2000000</f>
        <v>7520000</v>
      </c>
      <c r="I16" s="36">
        <f>5520000+2000000</f>
        <v>7520000</v>
      </c>
      <c r="J16" s="36">
        <v>6400000</v>
      </c>
      <c r="K16" s="71">
        <f>+J16/I16</f>
        <v>0.85106382978723405</v>
      </c>
      <c r="L16" s="36">
        <f>8190000+9951015</f>
        <v>18141015</v>
      </c>
      <c r="M16" s="36">
        <f>8190000+9951015</f>
        <v>18141015</v>
      </c>
      <c r="N16" s="36">
        <v>11487015</v>
      </c>
      <c r="O16" s="68">
        <f>+N16/M16</f>
        <v>0.63320685198705806</v>
      </c>
      <c r="P16" s="36">
        <f t="shared" si="1"/>
        <v>31661015</v>
      </c>
      <c r="Q16" s="36">
        <f t="shared" si="2"/>
        <v>31661015</v>
      </c>
      <c r="R16" s="36">
        <f t="shared" si="3"/>
        <v>21803015</v>
      </c>
      <c r="S16" s="71">
        <f>+R16/Q16</f>
        <v>0.68863916712714357</v>
      </c>
    </row>
    <row r="17" spans="1:19" x14ac:dyDescent="0.25">
      <c r="A17" s="8" t="s">
        <v>24</v>
      </c>
      <c r="B17" s="53" t="s">
        <v>268</v>
      </c>
      <c r="C17" s="4" t="s">
        <v>337</v>
      </c>
      <c r="D17" s="36">
        <v>0</v>
      </c>
      <c r="E17" s="36">
        <v>0</v>
      </c>
      <c r="F17" s="36">
        <v>0</v>
      </c>
      <c r="G17" s="72"/>
      <c r="H17" s="36">
        <v>60000</v>
      </c>
      <c r="I17" s="36">
        <v>60000</v>
      </c>
      <c r="J17" s="36">
        <v>0</v>
      </c>
      <c r="K17" s="71">
        <f>+J17/I17</f>
        <v>0</v>
      </c>
      <c r="L17" s="36">
        <v>0</v>
      </c>
      <c r="M17" s="36">
        <v>0</v>
      </c>
      <c r="N17" s="36">
        <v>0</v>
      </c>
      <c r="O17" s="69"/>
      <c r="P17" s="36">
        <f t="shared" si="1"/>
        <v>60000</v>
      </c>
      <c r="Q17" s="36">
        <f t="shared" si="2"/>
        <v>60000</v>
      </c>
      <c r="R17" s="36">
        <f t="shared" si="3"/>
        <v>0</v>
      </c>
      <c r="S17" s="72"/>
    </row>
    <row r="18" spans="1:19" x14ac:dyDescent="0.25">
      <c r="A18" s="8" t="s">
        <v>25</v>
      </c>
      <c r="B18" s="53" t="s">
        <v>269</v>
      </c>
      <c r="C18" s="4" t="s">
        <v>338</v>
      </c>
      <c r="D18" s="36">
        <v>700000</v>
      </c>
      <c r="E18" s="36">
        <v>700000</v>
      </c>
      <c r="F18" s="36">
        <v>290460</v>
      </c>
      <c r="G18" s="71">
        <f>+F18/E18</f>
        <v>0.41494285714285717</v>
      </c>
      <c r="H18" s="36">
        <v>600000</v>
      </c>
      <c r="I18" s="36">
        <v>600000</v>
      </c>
      <c r="J18" s="36">
        <v>265620</v>
      </c>
      <c r="K18" s="71">
        <f t="shared" ref="K18:K19" si="5">+J18/I18</f>
        <v>0.44269999999999998</v>
      </c>
      <c r="L18" s="36">
        <v>1300000</v>
      </c>
      <c r="M18" s="36">
        <v>1300000</v>
      </c>
      <c r="N18" s="36">
        <v>584280</v>
      </c>
      <c r="O18" s="68">
        <f>+N18/M18</f>
        <v>0.44944615384615383</v>
      </c>
      <c r="P18" s="36">
        <f t="shared" si="1"/>
        <v>2600000</v>
      </c>
      <c r="Q18" s="36">
        <f t="shared" si="2"/>
        <v>2600000</v>
      </c>
      <c r="R18" s="36">
        <f t="shared" si="3"/>
        <v>1140360</v>
      </c>
      <c r="S18" s="71">
        <f t="shared" ref="S18:S19" si="6">+R18/Q18</f>
        <v>0.43859999999999999</v>
      </c>
    </row>
    <row r="19" spans="1:19" x14ac:dyDescent="0.25">
      <c r="A19" s="8" t="s">
        <v>26</v>
      </c>
      <c r="B19" s="53" t="s">
        <v>270</v>
      </c>
      <c r="C19" s="4" t="s">
        <v>339</v>
      </c>
      <c r="D19" s="36">
        <v>0</v>
      </c>
      <c r="E19" s="36">
        <v>0</v>
      </c>
      <c r="F19" s="36">
        <v>0</v>
      </c>
      <c r="G19" s="72"/>
      <c r="H19" s="36">
        <v>72000</v>
      </c>
      <c r="I19" s="36">
        <v>72000</v>
      </c>
      <c r="J19" s="36">
        <v>0</v>
      </c>
      <c r="K19" s="71">
        <f t="shared" si="5"/>
        <v>0</v>
      </c>
      <c r="L19" s="36">
        <v>0</v>
      </c>
      <c r="M19" s="36">
        <v>0</v>
      </c>
      <c r="N19" s="36">
        <v>0</v>
      </c>
      <c r="O19" s="69"/>
      <c r="P19" s="36">
        <f t="shared" si="1"/>
        <v>72000</v>
      </c>
      <c r="Q19" s="36">
        <f t="shared" si="2"/>
        <v>72000</v>
      </c>
      <c r="R19" s="36">
        <f t="shared" si="3"/>
        <v>0</v>
      </c>
      <c r="S19" s="71">
        <f t="shared" si="6"/>
        <v>0</v>
      </c>
    </row>
    <row r="20" spans="1:19" x14ac:dyDescent="0.25">
      <c r="A20" s="8" t="s">
        <v>27</v>
      </c>
      <c r="B20" s="53" t="s">
        <v>271</v>
      </c>
      <c r="C20" s="4" t="s">
        <v>340</v>
      </c>
      <c r="D20" s="36">
        <v>0</v>
      </c>
      <c r="E20" s="36">
        <v>0</v>
      </c>
      <c r="F20" s="36">
        <v>0</v>
      </c>
      <c r="G20" s="72"/>
      <c r="H20" s="36">
        <v>0</v>
      </c>
      <c r="I20" s="36">
        <v>0</v>
      </c>
      <c r="J20" s="36">
        <v>0</v>
      </c>
      <c r="K20" s="72"/>
      <c r="L20" s="36">
        <v>0</v>
      </c>
      <c r="M20" s="36">
        <v>0</v>
      </c>
      <c r="N20" s="36">
        <v>0</v>
      </c>
      <c r="O20" s="69"/>
      <c r="P20" s="36">
        <f t="shared" si="1"/>
        <v>0</v>
      </c>
      <c r="Q20" s="36">
        <f t="shared" si="2"/>
        <v>0</v>
      </c>
      <c r="R20" s="36">
        <f t="shared" si="3"/>
        <v>0</v>
      </c>
      <c r="S20" s="72"/>
    </row>
    <row r="21" spans="1:19" x14ac:dyDescent="0.25">
      <c r="A21" s="8" t="s">
        <v>28</v>
      </c>
      <c r="B21" s="53" t="s">
        <v>272</v>
      </c>
      <c r="C21" s="4" t="s">
        <v>341</v>
      </c>
      <c r="D21" s="36">
        <v>0</v>
      </c>
      <c r="E21" s="36">
        <v>0</v>
      </c>
      <c r="F21" s="36">
        <v>0</v>
      </c>
      <c r="G21" s="72"/>
      <c r="H21" s="36">
        <v>0</v>
      </c>
      <c r="I21" s="36">
        <v>0</v>
      </c>
      <c r="J21" s="36">
        <v>0</v>
      </c>
      <c r="K21" s="72"/>
      <c r="L21" s="36">
        <v>0</v>
      </c>
      <c r="M21" s="36">
        <v>0</v>
      </c>
      <c r="N21" s="36">
        <v>0</v>
      </c>
      <c r="O21" s="69"/>
      <c r="P21" s="36">
        <f t="shared" si="1"/>
        <v>0</v>
      </c>
      <c r="Q21" s="36">
        <f t="shared" si="2"/>
        <v>0</v>
      </c>
      <c r="R21" s="36">
        <f t="shared" si="3"/>
        <v>0</v>
      </c>
      <c r="S21" s="72"/>
    </row>
    <row r="22" spans="1:19" x14ac:dyDescent="0.25">
      <c r="A22" s="8" t="s">
        <v>29</v>
      </c>
      <c r="B22" s="53" t="s">
        <v>273</v>
      </c>
      <c r="C22" s="4" t="s">
        <v>342</v>
      </c>
      <c r="D22" s="36">
        <v>2500000</v>
      </c>
      <c r="E22" s="36">
        <v>2500000</v>
      </c>
      <c r="F22" s="36">
        <v>478514</v>
      </c>
      <c r="G22" s="71">
        <f>+F22/E22</f>
        <v>0.19140560000000001</v>
      </c>
      <c r="H22" s="36">
        <v>1000000</v>
      </c>
      <c r="I22" s="36">
        <v>1000000</v>
      </c>
      <c r="J22" s="36">
        <v>703777</v>
      </c>
      <c r="K22" s="71">
        <f>+J22/I22</f>
        <v>0.70377699999999999</v>
      </c>
      <c r="L22" s="36">
        <v>3500000</v>
      </c>
      <c r="M22" s="36">
        <v>5786000</v>
      </c>
      <c r="N22" s="36">
        <v>4365624</v>
      </c>
      <c r="O22" s="68">
        <f>+N22/M22</f>
        <v>0.754515036294504</v>
      </c>
      <c r="P22" s="36">
        <f t="shared" si="1"/>
        <v>7000000</v>
      </c>
      <c r="Q22" s="36">
        <f t="shared" si="2"/>
        <v>9286000</v>
      </c>
      <c r="R22" s="36">
        <f t="shared" si="3"/>
        <v>5547915</v>
      </c>
      <c r="S22" s="71">
        <f>+R22/Q22</f>
        <v>0.59744938617273313</v>
      </c>
    </row>
    <row r="23" spans="1:19" x14ac:dyDescent="0.25">
      <c r="A23" s="8" t="s">
        <v>30</v>
      </c>
      <c r="B23" s="55" t="s">
        <v>274</v>
      </c>
      <c r="C23" s="28" t="s">
        <v>343</v>
      </c>
      <c r="D23" s="40">
        <f>SUM(D10:D22)</f>
        <v>108200000</v>
      </c>
      <c r="E23" s="40">
        <f t="shared" ref="E23:R23" si="7">SUM(E10:E22)</f>
        <v>108200000</v>
      </c>
      <c r="F23" s="40">
        <f t="shared" si="7"/>
        <v>50475563</v>
      </c>
      <c r="G23" s="64">
        <f>+F23/E23</f>
        <v>0.46650243068391867</v>
      </c>
      <c r="H23" s="40">
        <f t="shared" si="7"/>
        <v>133877997</v>
      </c>
      <c r="I23" s="40">
        <f t="shared" si="7"/>
        <v>135579276</v>
      </c>
      <c r="J23" s="40">
        <f t="shared" si="7"/>
        <v>66612334</v>
      </c>
      <c r="K23" s="64">
        <f>+J23/I23</f>
        <v>0.49131648999217253</v>
      </c>
      <c r="L23" s="40">
        <f t="shared" si="7"/>
        <v>304269015</v>
      </c>
      <c r="M23" s="40">
        <f t="shared" si="7"/>
        <v>306555015</v>
      </c>
      <c r="N23" s="40">
        <f t="shared" si="7"/>
        <v>143374615</v>
      </c>
      <c r="O23" s="66">
        <f>+N23/M23</f>
        <v>0.46769619802174822</v>
      </c>
      <c r="P23" s="40">
        <f t="shared" si="7"/>
        <v>546347012</v>
      </c>
      <c r="Q23" s="40">
        <f t="shared" si="7"/>
        <v>550334291</v>
      </c>
      <c r="R23" s="40">
        <f t="shared" si="7"/>
        <v>260462512</v>
      </c>
      <c r="S23" s="81">
        <f>+R23/Q23</f>
        <v>0.47328054286190208</v>
      </c>
    </row>
    <row r="24" spans="1:19" x14ac:dyDescent="0.25">
      <c r="A24" s="8" t="s">
        <v>31</v>
      </c>
      <c r="B24" s="53" t="s">
        <v>275</v>
      </c>
      <c r="C24" s="4" t="s">
        <v>344</v>
      </c>
      <c r="D24" s="36">
        <f>35200000+1000000</f>
        <v>36200000</v>
      </c>
      <c r="E24" s="36">
        <f>35200000+1000000</f>
        <v>36200000</v>
      </c>
      <c r="F24" s="36">
        <v>17887354</v>
      </c>
      <c r="G24" s="71">
        <f t="shared" ref="G24:G26" si="8">+F24/E24</f>
        <v>0.4941258011049724</v>
      </c>
      <c r="H24" s="36">
        <v>0</v>
      </c>
      <c r="I24" s="36">
        <v>0</v>
      </c>
      <c r="J24" s="36">
        <v>0</v>
      </c>
      <c r="K24" s="72"/>
      <c r="L24" s="36">
        <v>0</v>
      </c>
      <c r="M24" s="36">
        <v>0</v>
      </c>
      <c r="N24" s="36">
        <v>0</v>
      </c>
      <c r="O24" s="69"/>
      <c r="P24" s="36">
        <f t="shared" si="1"/>
        <v>36200000</v>
      </c>
      <c r="Q24" s="36">
        <f t="shared" si="2"/>
        <v>36200000</v>
      </c>
      <c r="R24" s="36">
        <f t="shared" si="3"/>
        <v>17887354</v>
      </c>
      <c r="S24" s="71">
        <f t="shared" ref="S24:S29" si="9">+R24/Q24</f>
        <v>0.4941258011049724</v>
      </c>
    </row>
    <row r="25" spans="1:19" ht="30" x14ac:dyDescent="0.25">
      <c r="A25" s="8" t="s">
        <v>32</v>
      </c>
      <c r="B25" s="53" t="s">
        <v>276</v>
      </c>
      <c r="C25" s="4" t="s">
        <v>345</v>
      </c>
      <c r="D25" s="36">
        <v>11000000</v>
      </c>
      <c r="E25" s="36">
        <v>11000000</v>
      </c>
      <c r="F25" s="36">
        <v>6006201</v>
      </c>
      <c r="G25" s="71">
        <f t="shared" si="8"/>
        <v>0.54601827272727277</v>
      </c>
      <c r="H25" s="36">
        <v>300000</v>
      </c>
      <c r="I25" s="36">
        <v>300000</v>
      </c>
      <c r="J25" s="36">
        <v>150750</v>
      </c>
      <c r="K25" s="71">
        <f>+J25/I25</f>
        <v>0.50249999999999995</v>
      </c>
      <c r="L25" s="36">
        <v>4600000</v>
      </c>
      <c r="M25" s="36">
        <v>4600000</v>
      </c>
      <c r="N25" s="36">
        <v>2223702</v>
      </c>
      <c r="O25" s="68">
        <f t="shared" ref="O25:O31" si="10">+N25/M25</f>
        <v>0.48341347826086956</v>
      </c>
      <c r="P25" s="36">
        <f t="shared" si="1"/>
        <v>15900000</v>
      </c>
      <c r="Q25" s="36">
        <f t="shared" si="2"/>
        <v>15900000</v>
      </c>
      <c r="R25" s="36">
        <f t="shared" si="3"/>
        <v>8380653</v>
      </c>
      <c r="S25" s="71">
        <f t="shared" si="9"/>
        <v>0.5270850943396227</v>
      </c>
    </row>
    <row r="26" spans="1:19" x14ac:dyDescent="0.25">
      <c r="A26" s="8" t="s">
        <v>33</v>
      </c>
      <c r="B26" s="53" t="s">
        <v>277</v>
      </c>
      <c r="C26" s="4" t="s">
        <v>346</v>
      </c>
      <c r="D26" s="36">
        <v>7000000</v>
      </c>
      <c r="E26" s="36">
        <v>7000000</v>
      </c>
      <c r="F26" s="36">
        <v>928260</v>
      </c>
      <c r="G26" s="71">
        <f t="shared" si="8"/>
        <v>0.13260857142857144</v>
      </c>
      <c r="H26" s="36">
        <v>300000</v>
      </c>
      <c r="I26" s="36">
        <v>2152425</v>
      </c>
      <c r="J26" s="36">
        <v>2114375</v>
      </c>
      <c r="K26" s="71">
        <f>+J26/I26</f>
        <v>0.982322264422686</v>
      </c>
      <c r="L26" s="36">
        <v>900000</v>
      </c>
      <c r="M26" s="36">
        <v>900000</v>
      </c>
      <c r="N26" s="36">
        <v>45000</v>
      </c>
      <c r="O26" s="68">
        <f t="shared" si="10"/>
        <v>0.05</v>
      </c>
      <c r="P26" s="36">
        <f t="shared" si="1"/>
        <v>8200000</v>
      </c>
      <c r="Q26" s="36">
        <f t="shared" si="2"/>
        <v>10052425</v>
      </c>
      <c r="R26" s="36">
        <f t="shared" si="3"/>
        <v>3087635</v>
      </c>
      <c r="S26" s="71">
        <f t="shared" si="9"/>
        <v>0.3071532490916371</v>
      </c>
    </row>
    <row r="27" spans="1:19" x14ac:dyDescent="0.25">
      <c r="A27" s="8" t="s">
        <v>34</v>
      </c>
      <c r="B27" s="55" t="s">
        <v>278</v>
      </c>
      <c r="C27" s="28" t="s">
        <v>347</v>
      </c>
      <c r="D27" s="40">
        <f>SUM(D24:D26)</f>
        <v>54200000</v>
      </c>
      <c r="E27" s="40">
        <f t="shared" ref="E27:Q27" si="11">SUM(E24:E26)</f>
        <v>54200000</v>
      </c>
      <c r="F27" s="40">
        <f t="shared" si="11"/>
        <v>24821815</v>
      </c>
      <c r="G27" s="64">
        <f>+F27/E27</f>
        <v>0.4579670664206642</v>
      </c>
      <c r="H27" s="40">
        <f t="shared" si="11"/>
        <v>600000</v>
      </c>
      <c r="I27" s="40">
        <f t="shared" si="11"/>
        <v>2452425</v>
      </c>
      <c r="J27" s="40">
        <f t="shared" si="11"/>
        <v>2265125</v>
      </c>
      <c r="K27" s="64">
        <f>+J27/I27</f>
        <v>0.92362661447342931</v>
      </c>
      <c r="L27" s="40">
        <f t="shared" si="11"/>
        <v>5500000</v>
      </c>
      <c r="M27" s="40">
        <f t="shared" si="11"/>
        <v>5500000</v>
      </c>
      <c r="N27" s="40">
        <f t="shared" si="11"/>
        <v>2268702</v>
      </c>
      <c r="O27" s="66">
        <f t="shared" si="10"/>
        <v>0.41249127272727271</v>
      </c>
      <c r="P27" s="40">
        <f t="shared" si="11"/>
        <v>60300000</v>
      </c>
      <c r="Q27" s="40">
        <f t="shared" si="11"/>
        <v>62152425</v>
      </c>
      <c r="R27" s="40">
        <f t="shared" ref="R27" si="12">SUM(R24:R26)</f>
        <v>29355642</v>
      </c>
      <c r="S27" s="81">
        <f t="shared" si="9"/>
        <v>0.47231692086028826</v>
      </c>
    </row>
    <row r="28" spans="1:19" x14ac:dyDescent="0.25">
      <c r="A28" s="8" t="s">
        <v>35</v>
      </c>
      <c r="B28" s="54" t="s">
        <v>279</v>
      </c>
      <c r="C28" s="24" t="s">
        <v>348</v>
      </c>
      <c r="D28" s="37">
        <f>+D23+D27</f>
        <v>162400000</v>
      </c>
      <c r="E28" s="37">
        <f t="shared" ref="E28:Q28" si="13">+E23+E27</f>
        <v>162400000</v>
      </c>
      <c r="F28" s="37">
        <f t="shared" si="13"/>
        <v>75297378</v>
      </c>
      <c r="G28" s="64">
        <f>+F28/E28</f>
        <v>0.4636538054187192</v>
      </c>
      <c r="H28" s="37">
        <f t="shared" si="13"/>
        <v>134477997</v>
      </c>
      <c r="I28" s="37">
        <f t="shared" si="13"/>
        <v>138031701</v>
      </c>
      <c r="J28" s="70">
        <f t="shared" si="13"/>
        <v>68877459</v>
      </c>
      <c r="K28" s="64">
        <f>+J28/I28</f>
        <v>0.4989973933596602</v>
      </c>
      <c r="L28" s="37">
        <f t="shared" si="13"/>
        <v>309769015</v>
      </c>
      <c r="M28" s="37">
        <f t="shared" si="13"/>
        <v>312055015</v>
      </c>
      <c r="N28" s="37">
        <f t="shared" si="13"/>
        <v>145643317</v>
      </c>
      <c r="O28" s="66">
        <f t="shared" si="10"/>
        <v>0.46672320584240573</v>
      </c>
      <c r="P28" s="37">
        <f t="shared" si="13"/>
        <v>606647012</v>
      </c>
      <c r="Q28" s="37">
        <f t="shared" si="13"/>
        <v>612486716</v>
      </c>
      <c r="R28" s="37">
        <f t="shared" ref="R28" si="14">+R23+R27</f>
        <v>289818154</v>
      </c>
      <c r="S28" s="81">
        <f t="shared" si="9"/>
        <v>0.4731827587914576</v>
      </c>
    </row>
    <row r="29" spans="1:19" ht="30" x14ac:dyDescent="0.25">
      <c r="A29" s="8" t="s">
        <v>36</v>
      </c>
      <c r="B29" s="54" t="s">
        <v>50</v>
      </c>
      <c r="C29" s="24" t="s">
        <v>349</v>
      </c>
      <c r="D29" s="37">
        <f>21965000+980000</f>
        <v>22945000</v>
      </c>
      <c r="E29" s="37">
        <f>21965000+980000</f>
        <v>22945000</v>
      </c>
      <c r="F29" s="37">
        <v>10936896</v>
      </c>
      <c r="G29" s="64">
        <f>+F29/E29</f>
        <v>0.47665704946611465</v>
      </c>
      <c r="H29" s="37">
        <f>17140000+560000</f>
        <v>17700000</v>
      </c>
      <c r="I29" s="37">
        <v>18245118</v>
      </c>
      <c r="J29" s="37">
        <v>11659237</v>
      </c>
      <c r="K29" s="64">
        <f>+J29/I29</f>
        <v>0.6390332471404131</v>
      </c>
      <c r="L29" s="37">
        <f>34667000+2786284</f>
        <v>37453284</v>
      </c>
      <c r="M29" s="37">
        <v>37690884</v>
      </c>
      <c r="N29" s="37">
        <v>20642681</v>
      </c>
      <c r="O29" s="66">
        <f t="shared" si="10"/>
        <v>0.54768365210006753</v>
      </c>
      <c r="P29" s="37">
        <f>+D29+H29+L29</f>
        <v>78098284</v>
      </c>
      <c r="Q29" s="37">
        <f>+E29+I29+M29</f>
        <v>78881002</v>
      </c>
      <c r="R29" s="37">
        <f>+F29+J29+N29</f>
        <v>43238814</v>
      </c>
      <c r="S29" s="81">
        <f t="shared" si="9"/>
        <v>0.54815244360105875</v>
      </c>
    </row>
    <row r="30" spans="1:19" x14ac:dyDescent="0.25">
      <c r="A30" s="8" t="s">
        <v>37</v>
      </c>
      <c r="B30" s="53" t="s">
        <v>280</v>
      </c>
      <c r="C30" s="4" t="s">
        <v>351</v>
      </c>
      <c r="D30" s="36">
        <v>1300000</v>
      </c>
      <c r="E30" s="36">
        <v>1300000</v>
      </c>
      <c r="F30" s="36">
        <v>657597</v>
      </c>
      <c r="G30" s="71">
        <f t="shared" ref="G30:G31" si="15">+F30/E30</f>
        <v>0.50584384615384614</v>
      </c>
      <c r="H30" s="36">
        <v>200000</v>
      </c>
      <c r="I30" s="36">
        <v>200000</v>
      </c>
      <c r="J30" s="36">
        <v>27833</v>
      </c>
      <c r="K30" s="71">
        <f t="shared" ref="K30:K31" si="16">+J30/I30</f>
        <v>0.13916500000000001</v>
      </c>
      <c r="L30" s="36">
        <v>50000</v>
      </c>
      <c r="M30" s="36">
        <v>50000</v>
      </c>
      <c r="N30" s="36">
        <v>13156</v>
      </c>
      <c r="O30" s="68">
        <f t="shared" si="10"/>
        <v>0.26312000000000002</v>
      </c>
      <c r="P30" s="36">
        <f t="shared" ref="P30:Q32" si="17">+D30+H30+L30</f>
        <v>1550000</v>
      </c>
      <c r="Q30" s="36">
        <f t="shared" si="17"/>
        <v>1550000</v>
      </c>
      <c r="R30" s="36">
        <f t="shared" ref="R30:R54" si="18">+F30+J30+N30</f>
        <v>698586</v>
      </c>
      <c r="S30" s="71">
        <f t="shared" ref="S30:S31" si="19">+R30/Q30</f>
        <v>0.45070064516129033</v>
      </c>
    </row>
    <row r="31" spans="1:19" x14ac:dyDescent="0.25">
      <c r="A31" s="8" t="s">
        <v>38</v>
      </c>
      <c r="B31" s="53" t="s">
        <v>281</v>
      </c>
      <c r="C31" s="4" t="s">
        <v>352</v>
      </c>
      <c r="D31" s="36">
        <v>11000000</v>
      </c>
      <c r="E31" s="36">
        <v>11000000</v>
      </c>
      <c r="F31" s="36">
        <v>4393587</v>
      </c>
      <c r="G31" s="71">
        <f t="shared" si="15"/>
        <v>0.39941700000000002</v>
      </c>
      <c r="H31" s="36">
        <v>700000</v>
      </c>
      <c r="I31" s="36">
        <v>870219</v>
      </c>
      <c r="J31" s="36">
        <v>437325</v>
      </c>
      <c r="K31" s="71">
        <f t="shared" si="16"/>
        <v>0.50254591085692224</v>
      </c>
      <c r="L31" s="59">
        <v>2500000</v>
      </c>
      <c r="M31" s="36">
        <v>2500000</v>
      </c>
      <c r="N31" s="36">
        <v>821888</v>
      </c>
      <c r="O31" s="68">
        <f t="shared" si="10"/>
        <v>0.32875520000000003</v>
      </c>
      <c r="P31" s="36">
        <f t="shared" si="17"/>
        <v>14200000</v>
      </c>
      <c r="Q31" s="36">
        <f t="shared" si="17"/>
        <v>14370219</v>
      </c>
      <c r="R31" s="36">
        <f t="shared" si="18"/>
        <v>5652800</v>
      </c>
      <c r="S31" s="71">
        <f t="shared" si="19"/>
        <v>0.39336909200896658</v>
      </c>
    </row>
    <row r="32" spans="1:19" x14ac:dyDescent="0.25">
      <c r="A32" s="8" t="s">
        <v>39</v>
      </c>
      <c r="B32" s="53" t="s">
        <v>282</v>
      </c>
      <c r="C32" s="4" t="s">
        <v>353</v>
      </c>
      <c r="D32" s="36">
        <v>0</v>
      </c>
      <c r="E32" s="36">
        <v>0</v>
      </c>
      <c r="F32" s="36">
        <v>0</v>
      </c>
      <c r="G32" s="72"/>
      <c r="H32" s="36">
        <v>0</v>
      </c>
      <c r="I32" s="36">
        <v>0</v>
      </c>
      <c r="J32" s="36">
        <v>0</v>
      </c>
      <c r="K32" s="72"/>
      <c r="L32" s="36">
        <v>0</v>
      </c>
      <c r="M32" s="36">
        <v>0</v>
      </c>
      <c r="N32" s="36">
        <v>0</v>
      </c>
      <c r="O32" s="69"/>
      <c r="P32" s="36">
        <f t="shared" si="17"/>
        <v>0</v>
      </c>
      <c r="Q32" s="36">
        <f t="shared" si="17"/>
        <v>0</v>
      </c>
      <c r="R32" s="36">
        <f t="shared" si="18"/>
        <v>0</v>
      </c>
      <c r="S32" s="72"/>
    </row>
    <row r="33" spans="1:19" x14ac:dyDescent="0.25">
      <c r="A33" s="8" t="s">
        <v>40</v>
      </c>
      <c r="B33" s="55" t="s">
        <v>283</v>
      </c>
      <c r="C33" s="28" t="s">
        <v>354</v>
      </c>
      <c r="D33" s="40">
        <f>SUM(D30:D32)</f>
        <v>12300000</v>
      </c>
      <c r="E33" s="40">
        <f t="shared" ref="E33:R33" si="20">SUM(E30:E32)</f>
        <v>12300000</v>
      </c>
      <c r="F33" s="40">
        <f t="shared" si="20"/>
        <v>5051184</v>
      </c>
      <c r="G33" s="64">
        <f>+F33/E33</f>
        <v>0.41066536585365854</v>
      </c>
      <c r="H33" s="40">
        <f t="shared" si="20"/>
        <v>900000</v>
      </c>
      <c r="I33" s="40">
        <f t="shared" si="20"/>
        <v>1070219</v>
      </c>
      <c r="J33" s="40">
        <f t="shared" si="20"/>
        <v>465158</v>
      </c>
      <c r="K33" s="64">
        <f>+J33/I33</f>
        <v>0.43463814415554197</v>
      </c>
      <c r="L33" s="40">
        <f t="shared" si="20"/>
        <v>2550000</v>
      </c>
      <c r="M33" s="40">
        <f t="shared" si="20"/>
        <v>2550000</v>
      </c>
      <c r="N33" s="40">
        <f t="shared" si="20"/>
        <v>835044</v>
      </c>
      <c r="O33" s="66">
        <f t="shared" ref="O33:O40" si="21">+N33/M33</f>
        <v>0.32746823529411767</v>
      </c>
      <c r="P33" s="40">
        <f t="shared" si="20"/>
        <v>15750000</v>
      </c>
      <c r="Q33" s="40">
        <f t="shared" si="20"/>
        <v>15920219</v>
      </c>
      <c r="R33" s="40">
        <f t="shared" si="20"/>
        <v>6351386</v>
      </c>
      <c r="S33" s="81">
        <f>+R33/Q33</f>
        <v>0.39895091895406715</v>
      </c>
    </row>
    <row r="34" spans="1:19" x14ac:dyDescent="0.25">
      <c r="A34" s="8" t="s">
        <v>41</v>
      </c>
      <c r="B34" s="53" t="s">
        <v>284</v>
      </c>
      <c r="C34" s="4" t="s">
        <v>355</v>
      </c>
      <c r="D34" s="36">
        <v>3000000</v>
      </c>
      <c r="E34" s="36">
        <v>3000000</v>
      </c>
      <c r="F34" s="36">
        <v>1997675</v>
      </c>
      <c r="G34" s="71">
        <f t="shared" ref="G34:G54" si="22">+F34/E34</f>
        <v>0.66589166666666666</v>
      </c>
      <c r="H34" s="36">
        <v>1200000</v>
      </c>
      <c r="I34" s="36">
        <v>1200000</v>
      </c>
      <c r="J34" s="36">
        <v>676446</v>
      </c>
      <c r="K34" s="71">
        <f t="shared" ref="K34:K35" si="23">+J34/I34</f>
        <v>0.56370500000000001</v>
      </c>
      <c r="L34" s="36">
        <v>800000</v>
      </c>
      <c r="M34" s="36">
        <v>800000</v>
      </c>
      <c r="N34" s="36">
        <v>372396</v>
      </c>
      <c r="O34" s="68">
        <f t="shared" si="21"/>
        <v>0.46549499999999999</v>
      </c>
      <c r="P34" s="36">
        <f>+D34+H34+L34</f>
        <v>5000000</v>
      </c>
      <c r="Q34" s="36">
        <f>+E34+I34+M34</f>
        <v>5000000</v>
      </c>
      <c r="R34" s="36">
        <f t="shared" si="18"/>
        <v>3046517</v>
      </c>
      <c r="S34" s="71">
        <f t="shared" ref="S34:S35" si="24">+R34/Q34</f>
        <v>0.60930340000000005</v>
      </c>
    </row>
    <row r="35" spans="1:19" x14ac:dyDescent="0.25">
      <c r="A35" s="8" t="s">
        <v>42</v>
      </c>
      <c r="B35" s="53" t="s">
        <v>285</v>
      </c>
      <c r="C35" s="4" t="s">
        <v>356</v>
      </c>
      <c r="D35" s="36">
        <v>1200000</v>
      </c>
      <c r="E35" s="36">
        <v>1200000</v>
      </c>
      <c r="F35" s="36">
        <v>527552</v>
      </c>
      <c r="G35" s="71">
        <f t="shared" si="22"/>
        <v>0.43962666666666667</v>
      </c>
      <c r="H35" s="36">
        <v>100000</v>
      </c>
      <c r="I35" s="36">
        <v>100000</v>
      </c>
      <c r="J35" s="36">
        <v>28570</v>
      </c>
      <c r="K35" s="71">
        <f t="shared" si="23"/>
        <v>0.28570000000000001</v>
      </c>
      <c r="L35" s="36">
        <v>250000</v>
      </c>
      <c r="M35" s="36">
        <v>250000</v>
      </c>
      <c r="N35" s="36">
        <v>104628</v>
      </c>
      <c r="O35" s="68">
        <f t="shared" si="21"/>
        <v>0.418512</v>
      </c>
      <c r="P35" s="36">
        <f>+D35+H35+L35</f>
        <v>1550000</v>
      </c>
      <c r="Q35" s="36">
        <f>+E35+I35+M35</f>
        <v>1550000</v>
      </c>
      <c r="R35" s="36">
        <f t="shared" si="18"/>
        <v>660750</v>
      </c>
      <c r="S35" s="71">
        <f t="shared" si="24"/>
        <v>0.42629032258064514</v>
      </c>
    </row>
    <row r="36" spans="1:19" x14ac:dyDescent="0.25">
      <c r="A36" s="8" t="s">
        <v>56</v>
      </c>
      <c r="B36" s="55" t="s">
        <v>286</v>
      </c>
      <c r="C36" s="28" t="s">
        <v>357</v>
      </c>
      <c r="D36" s="40">
        <f>SUM(D34:D35)</f>
        <v>4200000</v>
      </c>
      <c r="E36" s="40">
        <f t="shared" ref="E36:R36" si="25">SUM(E34:E35)</f>
        <v>4200000</v>
      </c>
      <c r="F36" s="40">
        <f t="shared" si="25"/>
        <v>2525227</v>
      </c>
      <c r="G36" s="64">
        <f>+F36/E36</f>
        <v>0.60124452380952376</v>
      </c>
      <c r="H36" s="40">
        <f t="shared" si="25"/>
        <v>1300000</v>
      </c>
      <c r="I36" s="40">
        <f t="shared" si="25"/>
        <v>1300000</v>
      </c>
      <c r="J36" s="40">
        <f t="shared" si="25"/>
        <v>705016</v>
      </c>
      <c r="K36" s="64">
        <f>+J36/I36</f>
        <v>0.54232000000000002</v>
      </c>
      <c r="L36" s="40">
        <f t="shared" si="25"/>
        <v>1050000</v>
      </c>
      <c r="M36" s="40">
        <f t="shared" si="25"/>
        <v>1050000</v>
      </c>
      <c r="N36" s="40">
        <f t="shared" si="25"/>
        <v>477024</v>
      </c>
      <c r="O36" s="66">
        <f t="shared" si="21"/>
        <v>0.45430857142857145</v>
      </c>
      <c r="P36" s="40">
        <f t="shared" si="25"/>
        <v>6550000</v>
      </c>
      <c r="Q36" s="40">
        <f t="shared" si="25"/>
        <v>6550000</v>
      </c>
      <c r="R36" s="40">
        <f t="shared" si="25"/>
        <v>3707267</v>
      </c>
      <c r="S36" s="81">
        <f>+R36/Q36</f>
        <v>0.56599496183206111</v>
      </c>
    </row>
    <row r="37" spans="1:19" x14ac:dyDescent="0.25">
      <c r="A37" s="8" t="s">
        <v>57</v>
      </c>
      <c r="B37" s="53" t="s">
        <v>550</v>
      </c>
      <c r="C37" s="4" t="s">
        <v>553</v>
      </c>
      <c r="D37" s="36">
        <v>21000000</v>
      </c>
      <c r="E37" s="36">
        <v>21000000</v>
      </c>
      <c r="F37" s="36">
        <v>12570742</v>
      </c>
      <c r="G37" s="71">
        <f t="shared" si="22"/>
        <v>0.59860676190476192</v>
      </c>
      <c r="H37" s="36">
        <v>100000</v>
      </c>
      <c r="I37" s="36">
        <v>100000</v>
      </c>
      <c r="J37" s="36">
        <v>0</v>
      </c>
      <c r="K37" s="72"/>
      <c r="L37" s="36">
        <v>2500000</v>
      </c>
      <c r="M37" s="36">
        <v>2500000</v>
      </c>
      <c r="N37" s="36">
        <v>1041073</v>
      </c>
      <c r="O37" s="68">
        <f t="shared" si="21"/>
        <v>0.4164292</v>
      </c>
      <c r="P37" s="36">
        <f t="shared" ref="P37:P45" si="26">+D37+H37+L37</f>
        <v>23600000</v>
      </c>
      <c r="Q37" s="36">
        <f t="shared" ref="Q37:Q45" si="27">+E37+I37+M37</f>
        <v>23600000</v>
      </c>
      <c r="R37" s="36">
        <f t="shared" si="18"/>
        <v>13611815</v>
      </c>
      <c r="S37" s="71">
        <f t="shared" ref="S37:S45" si="28">+R37/Q37</f>
        <v>0.57677182203389832</v>
      </c>
    </row>
    <row r="38" spans="1:19" x14ac:dyDescent="0.25">
      <c r="A38" s="8" t="s">
        <v>58</v>
      </c>
      <c r="B38" s="53" t="s">
        <v>551</v>
      </c>
      <c r="C38" s="4" t="s">
        <v>554</v>
      </c>
      <c r="D38" s="36">
        <v>14000000</v>
      </c>
      <c r="E38" s="59">
        <v>16000000</v>
      </c>
      <c r="F38" s="59">
        <v>8094881</v>
      </c>
      <c r="G38" s="71">
        <f t="shared" si="22"/>
        <v>0.50593006250000006</v>
      </c>
      <c r="H38" s="36">
        <v>1800000</v>
      </c>
      <c r="I38" s="36">
        <v>1800000</v>
      </c>
      <c r="J38" s="36">
        <v>1087002</v>
      </c>
      <c r="K38" s="71">
        <f t="shared" ref="K38:K39" si="29">+J38/I38</f>
        <v>0.60389000000000004</v>
      </c>
      <c r="L38" s="36">
        <v>1700000</v>
      </c>
      <c r="M38" s="36">
        <v>1700000</v>
      </c>
      <c r="N38" s="36">
        <v>848982</v>
      </c>
      <c r="O38" s="68">
        <f t="shared" si="21"/>
        <v>0.49940117647058824</v>
      </c>
      <c r="P38" s="36">
        <f t="shared" si="26"/>
        <v>17500000</v>
      </c>
      <c r="Q38" s="36">
        <f t="shared" si="27"/>
        <v>19500000</v>
      </c>
      <c r="R38" s="36">
        <f t="shared" si="18"/>
        <v>10030865</v>
      </c>
      <c r="S38" s="71">
        <f t="shared" si="28"/>
        <v>0.51440333333333332</v>
      </c>
    </row>
    <row r="39" spans="1:19" x14ac:dyDescent="0.25">
      <c r="A39" s="8" t="s">
        <v>59</v>
      </c>
      <c r="B39" s="53" t="s">
        <v>552</v>
      </c>
      <c r="C39" s="4" t="s">
        <v>555</v>
      </c>
      <c r="D39" s="36">
        <v>2600000</v>
      </c>
      <c r="E39" s="59">
        <v>2600000</v>
      </c>
      <c r="F39" s="59">
        <v>968552</v>
      </c>
      <c r="G39" s="71">
        <f t="shared" si="22"/>
        <v>0.37252000000000002</v>
      </c>
      <c r="H39" s="36">
        <v>200000</v>
      </c>
      <c r="I39" s="36">
        <v>200000</v>
      </c>
      <c r="J39" s="36">
        <v>89931</v>
      </c>
      <c r="K39" s="71">
        <f t="shared" si="29"/>
        <v>0.44965500000000003</v>
      </c>
      <c r="L39" s="36">
        <v>1600000</v>
      </c>
      <c r="M39" s="36">
        <v>1600000</v>
      </c>
      <c r="N39" s="36">
        <v>751020</v>
      </c>
      <c r="O39" s="68">
        <f t="shared" si="21"/>
        <v>0.46938750000000001</v>
      </c>
      <c r="P39" s="36">
        <f t="shared" si="26"/>
        <v>4400000</v>
      </c>
      <c r="Q39" s="36">
        <f t="shared" si="27"/>
        <v>4400000</v>
      </c>
      <c r="R39" s="36">
        <f t="shared" si="18"/>
        <v>1809503</v>
      </c>
      <c r="S39" s="71">
        <f t="shared" si="28"/>
        <v>0.41125068181818181</v>
      </c>
    </row>
    <row r="40" spans="1:19" x14ac:dyDescent="0.25">
      <c r="A40" s="8" t="s">
        <v>60</v>
      </c>
      <c r="B40" s="53" t="s">
        <v>287</v>
      </c>
      <c r="C40" s="4" t="s">
        <v>358</v>
      </c>
      <c r="D40" s="36">
        <v>17500000</v>
      </c>
      <c r="E40" s="59">
        <v>17500000</v>
      </c>
      <c r="F40" s="59">
        <v>10827104</v>
      </c>
      <c r="G40" s="71">
        <f t="shared" si="22"/>
        <v>0.61869165714285712</v>
      </c>
      <c r="H40" s="36">
        <v>0</v>
      </c>
      <c r="I40" s="36">
        <v>0</v>
      </c>
      <c r="J40" s="36">
        <v>0</v>
      </c>
      <c r="K40" s="72"/>
      <c r="L40" s="36">
        <v>31320000</v>
      </c>
      <c r="M40" s="36">
        <v>31320000</v>
      </c>
      <c r="N40" s="36">
        <v>18213268</v>
      </c>
      <c r="O40" s="68">
        <f t="shared" si="21"/>
        <v>0.58152196679438062</v>
      </c>
      <c r="P40" s="36">
        <f t="shared" si="26"/>
        <v>48820000</v>
      </c>
      <c r="Q40" s="36">
        <f t="shared" si="27"/>
        <v>48820000</v>
      </c>
      <c r="R40" s="36">
        <f t="shared" si="18"/>
        <v>29040372</v>
      </c>
      <c r="S40" s="71">
        <f t="shared" si="28"/>
        <v>0.59484580090126993</v>
      </c>
    </row>
    <row r="41" spans="1:19" x14ac:dyDescent="0.25">
      <c r="A41" s="8" t="s">
        <v>61</v>
      </c>
      <c r="B41" s="53" t="s">
        <v>288</v>
      </c>
      <c r="C41" s="4" t="s">
        <v>359</v>
      </c>
      <c r="D41" s="36">
        <v>2700000</v>
      </c>
      <c r="E41" s="59">
        <v>2700000</v>
      </c>
      <c r="F41" s="59">
        <v>126480</v>
      </c>
      <c r="G41" s="71">
        <f t="shared" si="22"/>
        <v>4.6844444444444445E-2</v>
      </c>
      <c r="H41" s="36">
        <v>300000</v>
      </c>
      <c r="I41" s="36">
        <v>300000</v>
      </c>
      <c r="J41" s="36">
        <v>112800</v>
      </c>
      <c r="K41" s="71">
        <f t="shared" ref="K41" si="30">+J41/I41</f>
        <v>0.376</v>
      </c>
      <c r="L41" s="36">
        <v>0</v>
      </c>
      <c r="M41" s="36">
        <v>0</v>
      </c>
      <c r="N41" s="36">
        <v>0</v>
      </c>
      <c r="O41" s="68"/>
      <c r="P41" s="36">
        <f t="shared" si="26"/>
        <v>3000000</v>
      </c>
      <c r="Q41" s="36">
        <f t="shared" si="27"/>
        <v>3000000</v>
      </c>
      <c r="R41" s="36">
        <f t="shared" si="18"/>
        <v>239280</v>
      </c>
      <c r="S41" s="71">
        <f t="shared" si="28"/>
        <v>7.9759999999999998E-2</v>
      </c>
    </row>
    <row r="42" spans="1:19" x14ac:dyDescent="0.25">
      <c r="A42" s="8" t="s">
        <v>62</v>
      </c>
      <c r="B42" s="53" t="s">
        <v>289</v>
      </c>
      <c r="C42" s="4" t="s">
        <v>360</v>
      </c>
      <c r="D42" s="36">
        <v>10000000</v>
      </c>
      <c r="E42" s="59">
        <v>10000000</v>
      </c>
      <c r="F42" s="59">
        <v>6139791</v>
      </c>
      <c r="G42" s="71">
        <f t="shared" si="22"/>
        <v>0.6139791</v>
      </c>
      <c r="H42" s="36">
        <v>200000</v>
      </c>
      <c r="I42" s="36">
        <v>200000</v>
      </c>
      <c r="J42" s="36">
        <v>0</v>
      </c>
      <c r="K42" s="72"/>
      <c r="L42" s="59">
        <v>1500000</v>
      </c>
      <c r="M42" s="59">
        <v>1500000</v>
      </c>
      <c r="N42" s="59">
        <v>414000</v>
      </c>
      <c r="O42" s="68">
        <f t="shared" ref="O42:O45" si="31">+N42/M42</f>
        <v>0.27600000000000002</v>
      </c>
      <c r="P42" s="36">
        <f t="shared" si="26"/>
        <v>11700000</v>
      </c>
      <c r="Q42" s="36">
        <f t="shared" si="27"/>
        <v>11700000</v>
      </c>
      <c r="R42" s="36">
        <f t="shared" si="18"/>
        <v>6553791</v>
      </c>
      <c r="S42" s="71">
        <f t="shared" si="28"/>
        <v>0.56015307692307692</v>
      </c>
    </row>
    <row r="43" spans="1:19" x14ac:dyDescent="0.25">
      <c r="A43" s="8" t="s">
        <v>233</v>
      </c>
      <c r="B43" s="53" t="s">
        <v>290</v>
      </c>
      <c r="C43" s="4" t="s">
        <v>361</v>
      </c>
      <c r="D43" s="36">
        <v>4000000</v>
      </c>
      <c r="E43" s="59">
        <v>7000000</v>
      </c>
      <c r="F43" s="59">
        <v>3383876</v>
      </c>
      <c r="G43" s="71">
        <f t="shared" si="22"/>
        <v>0.48341085714285714</v>
      </c>
      <c r="H43" s="36">
        <v>0</v>
      </c>
      <c r="I43" s="36">
        <v>0</v>
      </c>
      <c r="J43" s="36">
        <v>0</v>
      </c>
      <c r="K43" s="72"/>
      <c r="L43" s="36">
        <v>0</v>
      </c>
      <c r="M43" s="36">
        <v>0</v>
      </c>
      <c r="N43" s="36">
        <v>0</v>
      </c>
      <c r="O43" s="68"/>
      <c r="P43" s="36">
        <f t="shared" si="26"/>
        <v>4000000</v>
      </c>
      <c r="Q43" s="36">
        <f t="shared" si="27"/>
        <v>7000000</v>
      </c>
      <c r="R43" s="36">
        <f t="shared" si="18"/>
        <v>3383876</v>
      </c>
      <c r="S43" s="71">
        <f t="shared" si="28"/>
        <v>0.48341085714285714</v>
      </c>
    </row>
    <row r="44" spans="1:19" x14ac:dyDescent="0.25">
      <c r="A44" s="8" t="s">
        <v>63</v>
      </c>
      <c r="B44" s="53" t="s">
        <v>291</v>
      </c>
      <c r="C44" s="4" t="s">
        <v>362</v>
      </c>
      <c r="D44" s="36">
        <v>8000000</v>
      </c>
      <c r="E44" s="59">
        <v>8000000</v>
      </c>
      <c r="F44" s="59">
        <v>1985525</v>
      </c>
      <c r="G44" s="71">
        <f t="shared" si="22"/>
        <v>0.248190625</v>
      </c>
      <c r="H44" s="36">
        <v>1100000</v>
      </c>
      <c r="I44" s="36">
        <v>1100000</v>
      </c>
      <c r="J44" s="36">
        <v>45000</v>
      </c>
      <c r="K44" s="71">
        <f t="shared" ref="K44:K47" si="32">+J44/I44</f>
        <v>4.0909090909090909E-2</v>
      </c>
      <c r="L44" s="36">
        <v>150000</v>
      </c>
      <c r="M44" s="36">
        <v>150000</v>
      </c>
      <c r="N44" s="36">
        <v>33900</v>
      </c>
      <c r="O44" s="68">
        <f t="shared" si="31"/>
        <v>0.22600000000000001</v>
      </c>
      <c r="P44" s="36">
        <f t="shared" si="26"/>
        <v>9250000</v>
      </c>
      <c r="Q44" s="36">
        <f t="shared" si="27"/>
        <v>9250000</v>
      </c>
      <c r="R44" s="36">
        <f t="shared" si="18"/>
        <v>2064425</v>
      </c>
      <c r="S44" s="71">
        <f t="shared" si="28"/>
        <v>0.22318108108108109</v>
      </c>
    </row>
    <row r="45" spans="1:19" x14ac:dyDescent="0.25">
      <c r="A45" s="8" t="s">
        <v>64</v>
      </c>
      <c r="B45" s="53" t="s">
        <v>292</v>
      </c>
      <c r="C45" s="4" t="s">
        <v>363</v>
      </c>
      <c r="D45" s="36">
        <v>25000000</v>
      </c>
      <c r="E45" s="59">
        <v>23000000</v>
      </c>
      <c r="F45" s="59">
        <v>6704218</v>
      </c>
      <c r="G45" s="71">
        <f t="shared" si="22"/>
        <v>0.2914877391304348</v>
      </c>
      <c r="H45" s="36">
        <v>2200000</v>
      </c>
      <c r="I45" s="36">
        <v>2199005</v>
      </c>
      <c r="J45" s="36">
        <v>1200734</v>
      </c>
      <c r="K45" s="71">
        <f t="shared" si="32"/>
        <v>0.54603513861951203</v>
      </c>
      <c r="L45" s="59">
        <v>3500000</v>
      </c>
      <c r="M45" s="36">
        <v>3398812</v>
      </c>
      <c r="N45" s="36">
        <v>1545332</v>
      </c>
      <c r="O45" s="68">
        <f t="shared" si="31"/>
        <v>0.4546682782101511</v>
      </c>
      <c r="P45" s="36">
        <f t="shared" si="26"/>
        <v>30700000</v>
      </c>
      <c r="Q45" s="36">
        <f t="shared" si="27"/>
        <v>28597817</v>
      </c>
      <c r="R45" s="36">
        <f t="shared" si="18"/>
        <v>9450284</v>
      </c>
      <c r="S45" s="71">
        <f t="shared" si="28"/>
        <v>0.33045473366026507</v>
      </c>
    </row>
    <row r="46" spans="1:19" x14ac:dyDescent="0.25">
      <c r="A46" s="8" t="s">
        <v>234</v>
      </c>
      <c r="B46" s="55" t="s">
        <v>412</v>
      </c>
      <c r="C46" s="28" t="s">
        <v>364</v>
      </c>
      <c r="D46" s="40">
        <f>SUM(D37:D45)</f>
        <v>104800000</v>
      </c>
      <c r="E46" s="40">
        <f t="shared" ref="E46:R46" si="33">SUM(E37:E45)</f>
        <v>107800000</v>
      </c>
      <c r="F46" s="40">
        <f t="shared" si="33"/>
        <v>50801169</v>
      </c>
      <c r="G46" s="64">
        <f>+F46/E46</f>
        <v>0.47125388682745828</v>
      </c>
      <c r="H46" s="40">
        <f t="shared" si="33"/>
        <v>5900000</v>
      </c>
      <c r="I46" s="40">
        <f t="shared" si="33"/>
        <v>5899005</v>
      </c>
      <c r="J46" s="40">
        <f t="shared" si="33"/>
        <v>2535467</v>
      </c>
      <c r="K46" s="64">
        <f>+J46/I46</f>
        <v>0.4298126548460291</v>
      </c>
      <c r="L46" s="40">
        <f t="shared" si="33"/>
        <v>42270000</v>
      </c>
      <c r="M46" s="40">
        <f t="shared" si="33"/>
        <v>42168812</v>
      </c>
      <c r="N46" s="40">
        <f t="shared" si="33"/>
        <v>22847575</v>
      </c>
      <c r="O46" s="66">
        <f>+N46/M46</f>
        <v>0.54181215728818732</v>
      </c>
      <c r="P46" s="40">
        <f t="shared" si="33"/>
        <v>152970000</v>
      </c>
      <c r="Q46" s="40">
        <f t="shared" si="33"/>
        <v>155867817</v>
      </c>
      <c r="R46" s="40">
        <f t="shared" si="33"/>
        <v>76184211</v>
      </c>
      <c r="S46" s="81">
        <f>+R46/Q46</f>
        <v>0.4887744786981908</v>
      </c>
    </row>
    <row r="47" spans="1:19" x14ac:dyDescent="0.25">
      <c r="A47" s="8" t="s">
        <v>65</v>
      </c>
      <c r="B47" s="53" t="s">
        <v>293</v>
      </c>
      <c r="C47" s="4" t="s">
        <v>365</v>
      </c>
      <c r="D47" s="36">
        <v>80000</v>
      </c>
      <c r="E47" s="36">
        <v>80000</v>
      </c>
      <c r="F47" s="36">
        <v>48720</v>
      </c>
      <c r="G47" s="71">
        <f t="shared" si="22"/>
        <v>0.60899999999999999</v>
      </c>
      <c r="H47" s="36">
        <v>50000</v>
      </c>
      <c r="I47" s="36">
        <v>66013</v>
      </c>
      <c r="J47" s="36">
        <v>16013</v>
      </c>
      <c r="K47" s="71">
        <f t="shared" si="32"/>
        <v>0.24257343250571858</v>
      </c>
      <c r="L47" s="36">
        <v>10000</v>
      </c>
      <c r="M47" s="36">
        <v>10000</v>
      </c>
      <c r="N47" s="36">
        <v>0</v>
      </c>
      <c r="O47" s="69"/>
      <c r="P47" s="36">
        <f>+D47+H47+L47</f>
        <v>140000</v>
      </c>
      <c r="Q47" s="36">
        <f>+E47+I47+M47</f>
        <v>156013</v>
      </c>
      <c r="R47" s="36">
        <f t="shared" si="18"/>
        <v>64733</v>
      </c>
      <c r="S47" s="71">
        <f t="shared" ref="S47:S48" si="34">+R47/Q47</f>
        <v>0.41492055149250384</v>
      </c>
    </row>
    <row r="48" spans="1:19" x14ac:dyDescent="0.25">
      <c r="A48" s="8" t="s">
        <v>66</v>
      </c>
      <c r="B48" s="53" t="s">
        <v>294</v>
      </c>
      <c r="C48" s="4" t="s">
        <v>366</v>
      </c>
      <c r="D48" s="36">
        <v>1350000</v>
      </c>
      <c r="E48" s="36">
        <v>1350000</v>
      </c>
      <c r="F48" s="36">
        <v>1021800</v>
      </c>
      <c r="G48" s="71">
        <f t="shared" si="22"/>
        <v>0.75688888888888894</v>
      </c>
      <c r="H48" s="36">
        <v>0</v>
      </c>
      <c r="I48" s="36">
        <v>0</v>
      </c>
      <c r="J48" s="36">
        <v>0</v>
      </c>
      <c r="K48" s="72"/>
      <c r="L48" s="36">
        <v>0</v>
      </c>
      <c r="M48" s="36">
        <v>0</v>
      </c>
      <c r="N48" s="36">
        <v>0</v>
      </c>
      <c r="O48" s="69"/>
      <c r="P48" s="36">
        <f>+D48+H48+L48</f>
        <v>1350000</v>
      </c>
      <c r="Q48" s="36">
        <f>+E48+I48+M48</f>
        <v>1350000</v>
      </c>
      <c r="R48" s="36">
        <f t="shared" si="18"/>
        <v>1021800</v>
      </c>
      <c r="S48" s="71">
        <f t="shared" si="34"/>
        <v>0.75688888888888894</v>
      </c>
    </row>
    <row r="49" spans="1:19" ht="30" x14ac:dyDescent="0.25">
      <c r="A49" s="8" t="s">
        <v>67</v>
      </c>
      <c r="B49" s="55" t="s">
        <v>413</v>
      </c>
      <c r="C49" s="28" t="s">
        <v>367</v>
      </c>
      <c r="D49" s="40">
        <f>SUM(D47:D48)</f>
        <v>1430000</v>
      </c>
      <c r="E49" s="40">
        <f t="shared" ref="E49:R49" si="35">SUM(E47:E48)</f>
        <v>1430000</v>
      </c>
      <c r="F49" s="40">
        <f t="shared" si="35"/>
        <v>1070520</v>
      </c>
      <c r="G49" s="64">
        <f>+F49/E49</f>
        <v>0.74861538461538457</v>
      </c>
      <c r="H49" s="40">
        <f t="shared" si="35"/>
        <v>50000</v>
      </c>
      <c r="I49" s="40">
        <f t="shared" si="35"/>
        <v>66013</v>
      </c>
      <c r="J49" s="40">
        <f t="shared" si="35"/>
        <v>16013</v>
      </c>
      <c r="K49" s="64">
        <f>+J49/I49</f>
        <v>0.24257343250571858</v>
      </c>
      <c r="L49" s="40">
        <f t="shared" si="35"/>
        <v>10000</v>
      </c>
      <c r="M49" s="40">
        <f t="shared" si="35"/>
        <v>10000</v>
      </c>
      <c r="N49" s="40">
        <f t="shared" si="35"/>
        <v>0</v>
      </c>
      <c r="O49" s="66">
        <f>+N49/M49</f>
        <v>0</v>
      </c>
      <c r="P49" s="40">
        <f t="shared" si="35"/>
        <v>1490000</v>
      </c>
      <c r="Q49" s="40">
        <f t="shared" si="35"/>
        <v>1506013</v>
      </c>
      <c r="R49" s="40">
        <f t="shared" si="35"/>
        <v>1086533</v>
      </c>
      <c r="S49" s="81">
        <f>+R49/Q49</f>
        <v>0.72146322774106197</v>
      </c>
    </row>
    <row r="50" spans="1:19" ht="30" x14ac:dyDescent="0.25">
      <c r="A50" s="8" t="s">
        <v>68</v>
      </c>
      <c r="B50" s="53" t="s">
        <v>295</v>
      </c>
      <c r="C50" s="4" t="s">
        <v>368</v>
      </c>
      <c r="D50" s="36">
        <v>28000000</v>
      </c>
      <c r="E50" s="36">
        <v>28000000</v>
      </c>
      <c r="F50" s="36">
        <v>14141710</v>
      </c>
      <c r="G50" s="71">
        <f t="shared" si="22"/>
        <v>0.50506107142857137</v>
      </c>
      <c r="H50" s="36">
        <v>2200000</v>
      </c>
      <c r="I50" s="36">
        <v>2245960</v>
      </c>
      <c r="J50" s="36">
        <v>700847</v>
      </c>
      <c r="K50" s="71">
        <f t="shared" ref="K50" si="36">+J50/I50</f>
        <v>0.31204785481486758</v>
      </c>
      <c r="L50" s="36">
        <v>11500000</v>
      </c>
      <c r="M50" s="36">
        <v>11500000</v>
      </c>
      <c r="N50" s="36">
        <v>6246897</v>
      </c>
      <c r="O50" s="68">
        <f t="shared" ref="O50" si="37">+N50/M50</f>
        <v>0.54320843478260872</v>
      </c>
      <c r="P50" s="36">
        <f t="shared" ref="P50:Q54" si="38">+D50+H50+L50</f>
        <v>41700000</v>
      </c>
      <c r="Q50" s="36">
        <f t="shared" si="38"/>
        <v>41745960</v>
      </c>
      <c r="R50" s="36">
        <f t="shared" si="18"/>
        <v>21089454</v>
      </c>
      <c r="S50" s="71">
        <f>+R50/Q50</f>
        <v>0.5051855077712909</v>
      </c>
    </row>
    <row r="51" spans="1:19" x14ac:dyDescent="0.25">
      <c r="A51" s="8" t="s">
        <v>69</v>
      </c>
      <c r="B51" s="53" t="s">
        <v>296</v>
      </c>
      <c r="C51" s="4" t="s">
        <v>369</v>
      </c>
      <c r="D51" s="36">
        <v>114593000</v>
      </c>
      <c r="E51" s="36">
        <v>114593000</v>
      </c>
      <c r="F51" s="36">
        <v>0</v>
      </c>
      <c r="G51" s="71">
        <f t="shared" si="22"/>
        <v>0</v>
      </c>
      <c r="H51" s="36">
        <v>0</v>
      </c>
      <c r="I51" s="36">
        <v>0</v>
      </c>
      <c r="J51" s="36">
        <v>0</v>
      </c>
      <c r="K51" s="72"/>
      <c r="L51" s="36">
        <v>0</v>
      </c>
      <c r="M51" s="36">
        <v>0</v>
      </c>
      <c r="N51" s="36">
        <v>0</v>
      </c>
      <c r="O51" s="68"/>
      <c r="P51" s="36">
        <f t="shared" si="38"/>
        <v>114593000</v>
      </c>
      <c r="Q51" s="36">
        <f t="shared" si="38"/>
        <v>114593000</v>
      </c>
      <c r="R51" s="36">
        <f t="shared" si="18"/>
        <v>0</v>
      </c>
      <c r="S51" s="72"/>
    </row>
    <row r="52" spans="1:19" x14ac:dyDescent="0.25">
      <c r="A52" s="8" t="s">
        <v>70</v>
      </c>
      <c r="B52" s="53" t="s">
        <v>297</v>
      </c>
      <c r="C52" s="4" t="s">
        <v>370</v>
      </c>
      <c r="D52" s="36">
        <v>44804</v>
      </c>
      <c r="E52" s="36">
        <v>44804</v>
      </c>
      <c r="F52" s="36">
        <v>2763</v>
      </c>
      <c r="G52" s="71">
        <f t="shared" si="22"/>
        <v>6.1668601017766271E-2</v>
      </c>
      <c r="H52" s="36">
        <v>0</v>
      </c>
      <c r="I52" s="36">
        <v>0</v>
      </c>
      <c r="J52" s="36">
        <v>0</v>
      </c>
      <c r="K52" s="72"/>
      <c r="L52" s="36">
        <v>0</v>
      </c>
      <c r="M52" s="36">
        <v>0</v>
      </c>
      <c r="N52" s="36">
        <v>0</v>
      </c>
      <c r="O52" s="69"/>
      <c r="P52" s="36">
        <f t="shared" si="38"/>
        <v>44804</v>
      </c>
      <c r="Q52" s="36">
        <f t="shared" si="38"/>
        <v>44804</v>
      </c>
      <c r="R52" s="36">
        <f t="shared" si="18"/>
        <v>2763</v>
      </c>
      <c r="S52" s="71">
        <f t="shared" ref="S52:S54" si="39">+R52/Q52</f>
        <v>6.1668601017766271E-2</v>
      </c>
    </row>
    <row r="53" spans="1:19" x14ac:dyDescent="0.25">
      <c r="A53" s="8" t="s">
        <v>71</v>
      </c>
      <c r="B53" s="53" t="s">
        <v>298</v>
      </c>
      <c r="C53" s="4" t="s">
        <v>371</v>
      </c>
      <c r="D53" s="36">
        <v>0</v>
      </c>
      <c r="E53" s="59">
        <v>12720</v>
      </c>
      <c r="F53" s="59">
        <v>12720</v>
      </c>
      <c r="G53" s="71">
        <f t="shared" si="22"/>
        <v>1</v>
      </c>
      <c r="H53" s="36">
        <v>0</v>
      </c>
      <c r="I53" s="36">
        <v>0</v>
      </c>
      <c r="J53" s="36">
        <v>0</v>
      </c>
      <c r="K53" s="72"/>
      <c r="L53" s="36">
        <v>0</v>
      </c>
      <c r="M53" s="36">
        <v>0</v>
      </c>
      <c r="N53" s="36">
        <v>0</v>
      </c>
      <c r="O53" s="69"/>
      <c r="P53" s="36">
        <f t="shared" si="38"/>
        <v>0</v>
      </c>
      <c r="Q53" s="36">
        <f t="shared" si="38"/>
        <v>12720</v>
      </c>
      <c r="R53" s="36">
        <f t="shared" si="18"/>
        <v>12720</v>
      </c>
      <c r="S53" s="71">
        <f t="shared" si="39"/>
        <v>1</v>
      </c>
    </row>
    <row r="54" spans="1:19" x14ac:dyDescent="0.25">
      <c r="A54" s="8" t="s">
        <v>72</v>
      </c>
      <c r="B54" s="53" t="s">
        <v>299</v>
      </c>
      <c r="C54" s="4" t="s">
        <v>372</v>
      </c>
      <c r="D54" s="36">
        <v>2320000</v>
      </c>
      <c r="E54" s="59">
        <v>2307280</v>
      </c>
      <c r="F54" s="59">
        <v>1361127</v>
      </c>
      <c r="G54" s="71">
        <f t="shared" si="22"/>
        <v>0.58992710030858841</v>
      </c>
      <c r="H54" s="36">
        <v>5000</v>
      </c>
      <c r="I54" s="36">
        <v>109784</v>
      </c>
      <c r="J54" s="36">
        <v>109187</v>
      </c>
      <c r="K54" s="71">
        <f t="shared" ref="K54" si="40">+J54/I54</f>
        <v>0.99456204911462509</v>
      </c>
      <c r="L54" s="36">
        <v>5000</v>
      </c>
      <c r="M54" s="36">
        <v>106200</v>
      </c>
      <c r="N54" s="36">
        <v>81184</v>
      </c>
      <c r="O54" s="68">
        <f t="shared" ref="O54" si="41">+N54/M54</f>
        <v>0.76444444444444448</v>
      </c>
      <c r="P54" s="36">
        <f t="shared" si="38"/>
        <v>2330000</v>
      </c>
      <c r="Q54" s="36">
        <f t="shared" si="38"/>
        <v>2523264</v>
      </c>
      <c r="R54" s="36">
        <f t="shared" si="18"/>
        <v>1551498</v>
      </c>
      <c r="S54" s="71">
        <f t="shared" si="39"/>
        <v>0.61487739689544973</v>
      </c>
    </row>
    <row r="55" spans="1:19" ht="30" x14ac:dyDescent="0.25">
      <c r="A55" s="8" t="s">
        <v>73</v>
      </c>
      <c r="B55" s="27" t="s">
        <v>414</v>
      </c>
      <c r="C55" s="28" t="s">
        <v>373</v>
      </c>
      <c r="D55" s="40">
        <f>SUM(D50:D54)</f>
        <v>144957804</v>
      </c>
      <c r="E55" s="40">
        <f t="shared" ref="E55:Q55" si="42">SUM(E50:E54)</f>
        <v>144957804</v>
      </c>
      <c r="F55" s="40">
        <f t="shared" si="42"/>
        <v>15518320</v>
      </c>
      <c r="G55" s="64">
        <f>+F55/E55</f>
        <v>0.10705405001858334</v>
      </c>
      <c r="H55" s="40">
        <f t="shared" si="42"/>
        <v>2205000</v>
      </c>
      <c r="I55" s="40">
        <f t="shared" si="42"/>
        <v>2355744</v>
      </c>
      <c r="J55" s="40">
        <f t="shared" si="42"/>
        <v>810034</v>
      </c>
      <c r="K55" s="64">
        <f>+J55/I55</f>
        <v>0.34385485010255784</v>
      </c>
      <c r="L55" s="40">
        <f t="shared" si="42"/>
        <v>11505000</v>
      </c>
      <c r="M55" s="40">
        <f t="shared" si="42"/>
        <v>11606200</v>
      </c>
      <c r="N55" s="40">
        <f t="shared" si="42"/>
        <v>6328081</v>
      </c>
      <c r="O55" s="66">
        <f>+N55/M55</f>
        <v>0.54523280660336715</v>
      </c>
      <c r="P55" s="40">
        <f t="shared" si="42"/>
        <v>158667804</v>
      </c>
      <c r="Q55" s="40">
        <f t="shared" si="42"/>
        <v>158919748</v>
      </c>
      <c r="R55" s="40">
        <f t="shared" ref="R55" si="43">SUM(R50:R54)</f>
        <v>22656435</v>
      </c>
      <c r="S55" s="81">
        <f>+R55/Q55</f>
        <v>0.14256525878709547</v>
      </c>
    </row>
    <row r="56" spans="1:19" x14ac:dyDescent="0.25">
      <c r="A56" s="8" t="s">
        <v>74</v>
      </c>
      <c r="B56" s="54" t="s">
        <v>415</v>
      </c>
      <c r="C56" s="24" t="s">
        <v>350</v>
      </c>
      <c r="D56" s="37">
        <f>+D33+D36+D46+D49+D55</f>
        <v>267687804</v>
      </c>
      <c r="E56" s="37">
        <f t="shared" ref="E56:Q56" si="44">+E33+E36+E46+E49+E55</f>
        <v>270687804</v>
      </c>
      <c r="F56" s="70">
        <f t="shared" si="44"/>
        <v>74966420</v>
      </c>
      <c r="G56" s="64">
        <f>+F56/E56</f>
        <v>0.27694790416194737</v>
      </c>
      <c r="H56" s="37">
        <f t="shared" si="44"/>
        <v>10355000</v>
      </c>
      <c r="I56" s="37">
        <f t="shared" si="44"/>
        <v>10690981</v>
      </c>
      <c r="J56" s="37">
        <f t="shared" si="44"/>
        <v>4531688</v>
      </c>
      <c r="K56" s="64">
        <f>+J56/I56</f>
        <v>0.42387952985792415</v>
      </c>
      <c r="L56" s="37">
        <f t="shared" si="44"/>
        <v>57385000</v>
      </c>
      <c r="M56" s="37">
        <f t="shared" si="44"/>
        <v>57385012</v>
      </c>
      <c r="N56" s="37">
        <f t="shared" si="44"/>
        <v>30487724</v>
      </c>
      <c r="O56" s="66">
        <f>+N56/M56</f>
        <v>0.53128374356704844</v>
      </c>
      <c r="P56" s="37">
        <f t="shared" si="44"/>
        <v>335427804</v>
      </c>
      <c r="Q56" s="37">
        <f t="shared" si="44"/>
        <v>338763797</v>
      </c>
      <c r="R56" s="37">
        <f t="shared" ref="R56" si="45">+R33+R36+R46+R49+R55</f>
        <v>109985832</v>
      </c>
      <c r="S56" s="81">
        <f>+R56/Q56</f>
        <v>0.32466819941801517</v>
      </c>
    </row>
    <row r="57" spans="1:19" x14ac:dyDescent="0.25">
      <c r="A57" s="8" t="s">
        <v>75</v>
      </c>
      <c r="B57" s="53" t="s">
        <v>300</v>
      </c>
      <c r="C57" s="4" t="s">
        <v>374</v>
      </c>
      <c r="D57" s="36">
        <v>0</v>
      </c>
      <c r="E57" s="36">
        <v>0</v>
      </c>
      <c r="F57" s="36">
        <v>0</v>
      </c>
      <c r="G57" s="72"/>
      <c r="H57" s="36">
        <v>0</v>
      </c>
      <c r="I57" s="36">
        <v>0</v>
      </c>
      <c r="J57" s="36">
        <v>0</v>
      </c>
      <c r="K57" s="72"/>
      <c r="L57" s="36">
        <v>0</v>
      </c>
      <c r="M57" s="36">
        <v>0</v>
      </c>
      <c r="N57" s="36">
        <v>0</v>
      </c>
      <c r="O57" s="69"/>
      <c r="P57" s="36">
        <f>+D57+H57+L57</f>
        <v>0</v>
      </c>
      <c r="Q57" s="36">
        <f>+E57+I57+M57</f>
        <v>0</v>
      </c>
      <c r="R57" s="36">
        <f t="shared" ref="R57:R92" si="46">+F57+J57+N57</f>
        <v>0</v>
      </c>
      <c r="S57" s="72"/>
    </row>
    <row r="58" spans="1:19" x14ac:dyDescent="0.25">
      <c r="A58" s="8" t="s">
        <v>76</v>
      </c>
      <c r="B58" s="53" t="s">
        <v>301</v>
      </c>
      <c r="C58" s="4" t="s">
        <v>375</v>
      </c>
      <c r="D58" s="36">
        <v>4200000</v>
      </c>
      <c r="E58" s="36">
        <v>4200000</v>
      </c>
      <c r="F58" s="36">
        <v>626380</v>
      </c>
      <c r="G58" s="71">
        <f t="shared" ref="G58" si="47">+F58/E58</f>
        <v>0.14913809523809524</v>
      </c>
      <c r="H58" s="36">
        <v>0</v>
      </c>
      <c r="I58" s="36">
        <v>0</v>
      </c>
      <c r="J58" s="36">
        <v>0</v>
      </c>
      <c r="K58" s="72"/>
      <c r="L58" s="36">
        <v>0</v>
      </c>
      <c r="M58" s="36">
        <v>0</v>
      </c>
      <c r="N58" s="36">
        <v>0</v>
      </c>
      <c r="O58" s="69"/>
      <c r="P58" s="36">
        <f>+D58+H58+L58</f>
        <v>4200000</v>
      </c>
      <c r="Q58" s="36">
        <f>+E58+I58+M58</f>
        <v>4200000</v>
      </c>
      <c r="R58" s="36">
        <f t="shared" si="46"/>
        <v>626380</v>
      </c>
      <c r="S58" s="71">
        <f>+R58/Q58</f>
        <v>0.14913809523809524</v>
      </c>
    </row>
    <row r="59" spans="1:19" x14ac:dyDescent="0.25">
      <c r="A59" s="8" t="s">
        <v>77</v>
      </c>
      <c r="B59" s="54" t="s">
        <v>416</v>
      </c>
      <c r="C59" s="24" t="s">
        <v>376</v>
      </c>
      <c r="D59" s="37">
        <f>SUM(D57:D58)</f>
        <v>4200000</v>
      </c>
      <c r="E59" s="37">
        <f t="shared" ref="E59:R59" si="48">SUM(E57:E58)</f>
        <v>4200000</v>
      </c>
      <c r="F59" s="40">
        <f t="shared" si="48"/>
        <v>626380</v>
      </c>
      <c r="G59" s="64">
        <f>+F59/E59</f>
        <v>0.14913809523809524</v>
      </c>
      <c r="H59" s="37">
        <f t="shared" si="48"/>
        <v>0</v>
      </c>
      <c r="I59" s="37">
        <f t="shared" si="48"/>
        <v>0</v>
      </c>
      <c r="J59" s="37">
        <f t="shared" si="48"/>
        <v>0</v>
      </c>
      <c r="K59" s="37"/>
      <c r="L59" s="37">
        <f t="shared" si="48"/>
        <v>0</v>
      </c>
      <c r="M59" s="37">
        <f t="shared" si="48"/>
        <v>0</v>
      </c>
      <c r="N59" s="37">
        <f t="shared" si="48"/>
        <v>0</v>
      </c>
      <c r="O59" s="66"/>
      <c r="P59" s="37">
        <f t="shared" si="48"/>
        <v>4200000</v>
      </c>
      <c r="Q59" s="37">
        <f t="shared" si="48"/>
        <v>4200000</v>
      </c>
      <c r="R59" s="37">
        <f t="shared" si="48"/>
        <v>626380</v>
      </c>
      <c r="S59" s="81">
        <f>+R59/Q59</f>
        <v>0.14913809523809524</v>
      </c>
    </row>
    <row r="60" spans="1:19" ht="30" x14ac:dyDescent="0.25">
      <c r="A60" s="8" t="s">
        <v>78</v>
      </c>
      <c r="B60" s="53" t="s">
        <v>302</v>
      </c>
      <c r="C60" s="4" t="s">
        <v>377</v>
      </c>
      <c r="D60" s="36">
        <v>0</v>
      </c>
      <c r="E60" s="36">
        <v>0</v>
      </c>
      <c r="F60" s="36">
        <v>0</v>
      </c>
      <c r="G60" s="72"/>
      <c r="H60" s="36">
        <v>0</v>
      </c>
      <c r="I60" s="36">
        <v>0</v>
      </c>
      <c r="J60" s="36">
        <v>0</v>
      </c>
      <c r="K60" s="72"/>
      <c r="L60" s="36"/>
      <c r="M60" s="36">
        <v>0</v>
      </c>
      <c r="N60" s="36">
        <v>0</v>
      </c>
      <c r="O60" s="69"/>
      <c r="P60" s="36">
        <f t="shared" ref="P60:Q62" si="49">+D60+H60+L60</f>
        <v>0</v>
      </c>
      <c r="Q60" s="36">
        <f t="shared" si="49"/>
        <v>0</v>
      </c>
      <c r="R60" s="36">
        <f t="shared" si="46"/>
        <v>0</v>
      </c>
      <c r="S60" s="72"/>
    </row>
    <row r="61" spans="1:19" ht="30" x14ac:dyDescent="0.25">
      <c r="A61" s="8" t="s">
        <v>79</v>
      </c>
      <c r="B61" s="53" t="s">
        <v>303</v>
      </c>
      <c r="C61" s="4" t="s">
        <v>378</v>
      </c>
      <c r="D61" s="36">
        <v>0</v>
      </c>
      <c r="E61" s="36">
        <v>0</v>
      </c>
      <c r="F61" s="36">
        <v>0</v>
      </c>
      <c r="G61" s="73"/>
      <c r="H61" s="36">
        <v>0</v>
      </c>
      <c r="I61" s="36">
        <v>0</v>
      </c>
      <c r="J61" s="36">
        <v>0</v>
      </c>
      <c r="K61" s="72"/>
      <c r="L61" s="36"/>
      <c r="M61" s="36">
        <v>0</v>
      </c>
      <c r="N61" s="36">
        <v>0</v>
      </c>
      <c r="O61" s="69"/>
      <c r="P61" s="36">
        <f t="shared" si="49"/>
        <v>0</v>
      </c>
      <c r="Q61" s="36">
        <f t="shared" si="49"/>
        <v>0</v>
      </c>
      <c r="R61" s="36">
        <f t="shared" si="46"/>
        <v>0</v>
      </c>
      <c r="S61" s="72"/>
    </row>
    <row r="62" spans="1:19" x14ac:dyDescent="0.25">
      <c r="A62" s="8" t="s">
        <v>80</v>
      </c>
      <c r="B62" s="53" t="s">
        <v>304</v>
      </c>
      <c r="C62" s="4" t="s">
        <v>379</v>
      </c>
      <c r="D62" s="36">
        <v>0</v>
      </c>
      <c r="E62" s="36">
        <v>0</v>
      </c>
      <c r="F62" s="36">
        <v>0</v>
      </c>
      <c r="G62" s="71"/>
      <c r="H62" s="36">
        <v>0</v>
      </c>
      <c r="I62" s="36">
        <v>0</v>
      </c>
      <c r="J62" s="36">
        <v>0</v>
      </c>
      <c r="K62" s="72"/>
      <c r="L62" s="36"/>
      <c r="M62" s="36">
        <v>0</v>
      </c>
      <c r="N62" s="36">
        <v>0</v>
      </c>
      <c r="O62" s="69"/>
      <c r="P62" s="36">
        <f t="shared" si="49"/>
        <v>0</v>
      </c>
      <c r="Q62" s="36">
        <f t="shared" si="49"/>
        <v>0</v>
      </c>
      <c r="R62" s="36">
        <f t="shared" si="46"/>
        <v>0</v>
      </c>
      <c r="S62" s="72"/>
    </row>
    <row r="63" spans="1:19" x14ac:dyDescent="0.25">
      <c r="A63" s="8" t="s">
        <v>81</v>
      </c>
      <c r="B63" s="55" t="s">
        <v>417</v>
      </c>
      <c r="C63" s="28" t="s">
        <v>385</v>
      </c>
      <c r="D63" s="40">
        <f>SUM(D60:D62)</f>
        <v>0</v>
      </c>
      <c r="E63" s="40">
        <f t="shared" ref="E63:R63" si="50">SUM(E60:E62)</f>
        <v>0</v>
      </c>
      <c r="F63" s="40">
        <f t="shared" si="50"/>
        <v>0</v>
      </c>
      <c r="G63" s="37"/>
      <c r="H63" s="40">
        <f t="shared" si="50"/>
        <v>0</v>
      </c>
      <c r="I63" s="40">
        <f t="shared" si="50"/>
        <v>0</v>
      </c>
      <c r="J63" s="40">
        <f t="shared" si="50"/>
        <v>0</v>
      </c>
      <c r="K63" s="37"/>
      <c r="L63" s="40">
        <f t="shared" si="50"/>
        <v>0</v>
      </c>
      <c r="M63" s="40">
        <f t="shared" si="50"/>
        <v>0</v>
      </c>
      <c r="N63" s="40">
        <f t="shared" si="50"/>
        <v>0</v>
      </c>
      <c r="O63" s="70"/>
      <c r="P63" s="40">
        <f t="shared" si="50"/>
        <v>0</v>
      </c>
      <c r="Q63" s="40">
        <f t="shared" si="50"/>
        <v>0</v>
      </c>
      <c r="R63" s="40">
        <f t="shared" si="50"/>
        <v>0</v>
      </c>
      <c r="S63" s="37"/>
    </row>
    <row r="64" spans="1:19" ht="30" x14ac:dyDescent="0.25">
      <c r="A64" s="8" t="s">
        <v>82</v>
      </c>
      <c r="B64" s="53" t="s">
        <v>305</v>
      </c>
      <c r="C64" s="4" t="s">
        <v>386</v>
      </c>
      <c r="D64" s="36">
        <v>0</v>
      </c>
      <c r="E64" s="36">
        <v>0</v>
      </c>
      <c r="F64" s="36">
        <v>0</v>
      </c>
      <c r="G64" s="72"/>
      <c r="H64" s="36">
        <v>0</v>
      </c>
      <c r="I64" s="36">
        <v>0</v>
      </c>
      <c r="J64" s="36">
        <v>0</v>
      </c>
      <c r="K64" s="72"/>
      <c r="L64" s="36">
        <v>0</v>
      </c>
      <c r="M64" s="36">
        <v>0</v>
      </c>
      <c r="N64" s="36">
        <v>0</v>
      </c>
      <c r="O64" s="69"/>
      <c r="P64" s="36">
        <f t="shared" ref="P64:P73" si="51">+D64+H64+L64</f>
        <v>0</v>
      </c>
      <c r="Q64" s="36">
        <f t="shared" ref="Q64:Q73" si="52">+E64+I64+M64</f>
        <v>0</v>
      </c>
      <c r="R64" s="36">
        <f t="shared" si="46"/>
        <v>0</v>
      </c>
      <c r="S64" s="72"/>
    </row>
    <row r="65" spans="1:19" ht="30" x14ac:dyDescent="0.25">
      <c r="A65" s="8" t="s">
        <v>83</v>
      </c>
      <c r="B65" s="53" t="s">
        <v>422</v>
      </c>
      <c r="C65" s="4" t="s">
        <v>387</v>
      </c>
      <c r="D65" s="36">
        <v>0</v>
      </c>
      <c r="E65" s="36">
        <v>0</v>
      </c>
      <c r="F65" s="36">
        <v>0</v>
      </c>
      <c r="G65" s="72"/>
      <c r="H65" s="36">
        <v>0</v>
      </c>
      <c r="I65" s="36">
        <v>0</v>
      </c>
      <c r="J65" s="36">
        <v>0</v>
      </c>
      <c r="K65" s="72"/>
      <c r="L65" s="36">
        <v>0</v>
      </c>
      <c r="M65" s="36">
        <v>0</v>
      </c>
      <c r="N65" s="36">
        <v>0</v>
      </c>
      <c r="O65" s="69"/>
      <c r="P65" s="36">
        <f t="shared" si="51"/>
        <v>0</v>
      </c>
      <c r="Q65" s="36">
        <f t="shared" si="52"/>
        <v>0</v>
      </c>
      <c r="R65" s="36">
        <f t="shared" si="46"/>
        <v>0</v>
      </c>
      <c r="S65" s="72"/>
    </row>
    <row r="66" spans="1:19" ht="30" x14ac:dyDescent="0.25">
      <c r="A66" s="8" t="s">
        <v>84</v>
      </c>
      <c r="B66" s="53" t="s">
        <v>306</v>
      </c>
      <c r="C66" s="4" t="s">
        <v>388</v>
      </c>
      <c r="D66" s="36">
        <v>0</v>
      </c>
      <c r="E66" s="36">
        <v>0</v>
      </c>
      <c r="F66" s="36">
        <v>0</v>
      </c>
      <c r="G66" s="72"/>
      <c r="H66" s="36">
        <v>0</v>
      </c>
      <c r="I66" s="36">
        <v>0</v>
      </c>
      <c r="J66" s="36">
        <v>0</v>
      </c>
      <c r="K66" s="72"/>
      <c r="L66" s="36">
        <v>0</v>
      </c>
      <c r="M66" s="36">
        <v>0</v>
      </c>
      <c r="N66" s="36">
        <v>0</v>
      </c>
      <c r="O66" s="69"/>
      <c r="P66" s="36">
        <f t="shared" si="51"/>
        <v>0</v>
      </c>
      <c r="Q66" s="36">
        <f t="shared" si="52"/>
        <v>0</v>
      </c>
      <c r="R66" s="36">
        <f t="shared" si="46"/>
        <v>0</v>
      </c>
      <c r="S66" s="72"/>
    </row>
    <row r="67" spans="1:19" ht="30" x14ac:dyDescent="0.25">
      <c r="A67" s="8" t="s">
        <v>85</v>
      </c>
      <c r="B67" s="53" t="s">
        <v>307</v>
      </c>
      <c r="C67" s="4" t="s">
        <v>389</v>
      </c>
      <c r="D67" s="36">
        <v>12715106</v>
      </c>
      <c r="E67" s="59">
        <v>12715106</v>
      </c>
      <c r="F67" s="59">
        <v>11177240</v>
      </c>
      <c r="G67" s="71">
        <f t="shared" ref="G67" si="53">+F67/E67</f>
        <v>0.87905205037221079</v>
      </c>
      <c r="H67" s="36">
        <v>0</v>
      </c>
      <c r="I67" s="36">
        <v>0</v>
      </c>
      <c r="J67" s="36">
        <v>0</v>
      </c>
      <c r="K67" s="72"/>
      <c r="L67" s="36">
        <v>0</v>
      </c>
      <c r="M67" s="36">
        <v>0</v>
      </c>
      <c r="N67" s="36">
        <v>0</v>
      </c>
      <c r="O67" s="69"/>
      <c r="P67" s="36">
        <f t="shared" si="51"/>
        <v>12715106</v>
      </c>
      <c r="Q67" s="36">
        <f t="shared" si="52"/>
        <v>12715106</v>
      </c>
      <c r="R67" s="36">
        <f t="shared" si="46"/>
        <v>11177240</v>
      </c>
      <c r="S67" s="71">
        <f>+R67/Q67</f>
        <v>0.87905205037221079</v>
      </c>
    </row>
    <row r="68" spans="1:19" ht="30" x14ac:dyDescent="0.25">
      <c r="A68" s="8" t="s">
        <v>86</v>
      </c>
      <c r="B68" s="53" t="s">
        <v>308</v>
      </c>
      <c r="C68" s="4" t="s">
        <v>390</v>
      </c>
      <c r="D68" s="36">
        <v>0</v>
      </c>
      <c r="E68" s="36">
        <v>0</v>
      </c>
      <c r="F68" s="36">
        <v>0</v>
      </c>
      <c r="G68" s="72"/>
      <c r="H68" s="36">
        <v>0</v>
      </c>
      <c r="I68" s="36">
        <v>0</v>
      </c>
      <c r="J68" s="36">
        <v>0</v>
      </c>
      <c r="K68" s="72"/>
      <c r="L68" s="36">
        <v>0</v>
      </c>
      <c r="M68" s="36">
        <v>0</v>
      </c>
      <c r="N68" s="36">
        <v>0</v>
      </c>
      <c r="O68" s="69"/>
      <c r="P68" s="36">
        <f t="shared" si="51"/>
        <v>0</v>
      </c>
      <c r="Q68" s="36">
        <f t="shared" si="52"/>
        <v>0</v>
      </c>
      <c r="R68" s="36">
        <f t="shared" si="46"/>
        <v>0</v>
      </c>
      <c r="S68" s="72"/>
    </row>
    <row r="69" spans="1:19" ht="30" x14ac:dyDescent="0.25">
      <c r="A69" s="8" t="s">
        <v>235</v>
      </c>
      <c r="B69" s="53" t="s">
        <v>309</v>
      </c>
      <c r="C69" s="4" t="s">
        <v>391</v>
      </c>
      <c r="D69" s="36">
        <v>0</v>
      </c>
      <c r="E69" s="36">
        <v>0</v>
      </c>
      <c r="F69" s="36">
        <v>0</v>
      </c>
      <c r="G69" s="72"/>
      <c r="H69" s="36">
        <v>0</v>
      </c>
      <c r="I69" s="36">
        <v>0</v>
      </c>
      <c r="J69" s="36">
        <v>0</v>
      </c>
      <c r="K69" s="72"/>
      <c r="L69" s="36">
        <v>0</v>
      </c>
      <c r="M69" s="36">
        <v>0</v>
      </c>
      <c r="N69" s="36">
        <v>0</v>
      </c>
      <c r="O69" s="69"/>
      <c r="P69" s="36">
        <f t="shared" si="51"/>
        <v>0</v>
      </c>
      <c r="Q69" s="36">
        <f t="shared" si="52"/>
        <v>0</v>
      </c>
      <c r="R69" s="36">
        <f t="shared" si="46"/>
        <v>0</v>
      </c>
      <c r="S69" s="72"/>
    </row>
    <row r="70" spans="1:19" x14ac:dyDescent="0.25">
      <c r="A70" s="8" t="s">
        <v>236</v>
      </c>
      <c r="B70" s="53" t="s">
        <v>310</v>
      </c>
      <c r="C70" s="4" t="s">
        <v>392</v>
      </c>
      <c r="D70" s="36">
        <v>0</v>
      </c>
      <c r="E70" s="36">
        <v>0</v>
      </c>
      <c r="F70" s="36">
        <v>0</v>
      </c>
      <c r="G70" s="72"/>
      <c r="H70" s="36">
        <v>0</v>
      </c>
      <c r="I70" s="36">
        <v>0</v>
      </c>
      <c r="J70" s="36">
        <v>0</v>
      </c>
      <c r="K70" s="72"/>
      <c r="L70" s="36">
        <v>0</v>
      </c>
      <c r="M70" s="36">
        <v>0</v>
      </c>
      <c r="N70" s="36">
        <v>0</v>
      </c>
      <c r="O70" s="69"/>
      <c r="P70" s="36">
        <f t="shared" si="51"/>
        <v>0</v>
      </c>
      <c r="Q70" s="36">
        <f t="shared" si="52"/>
        <v>0</v>
      </c>
      <c r="R70" s="36">
        <f t="shared" si="46"/>
        <v>0</v>
      </c>
      <c r="S70" s="72"/>
    </row>
    <row r="71" spans="1:19" x14ac:dyDescent="0.25">
      <c r="A71" s="8" t="s">
        <v>237</v>
      </c>
      <c r="B71" s="53" t="s">
        <v>311</v>
      </c>
      <c r="C71" s="4" t="s">
        <v>393</v>
      </c>
      <c r="D71" s="36">
        <v>0</v>
      </c>
      <c r="E71" s="36">
        <v>0</v>
      </c>
      <c r="F71" s="36">
        <v>0</v>
      </c>
      <c r="G71" s="72"/>
      <c r="H71" s="36">
        <v>0</v>
      </c>
      <c r="I71" s="36">
        <v>0</v>
      </c>
      <c r="J71" s="36">
        <v>0</v>
      </c>
      <c r="K71" s="72"/>
      <c r="L71" s="36">
        <v>0</v>
      </c>
      <c r="M71" s="36">
        <v>0</v>
      </c>
      <c r="N71" s="36">
        <v>0</v>
      </c>
      <c r="O71" s="69"/>
      <c r="P71" s="36">
        <f t="shared" si="51"/>
        <v>0</v>
      </c>
      <c r="Q71" s="36">
        <f t="shared" si="52"/>
        <v>0</v>
      </c>
      <c r="R71" s="36">
        <f t="shared" si="46"/>
        <v>0</v>
      </c>
      <c r="S71" s="72"/>
    </row>
    <row r="72" spans="1:19" ht="30" x14ac:dyDescent="0.25">
      <c r="A72" s="8" t="s">
        <v>238</v>
      </c>
      <c r="B72" s="53" t="s">
        <v>312</v>
      </c>
      <c r="C72" s="4" t="s">
        <v>394</v>
      </c>
      <c r="D72" s="36">
        <v>3610000</v>
      </c>
      <c r="E72" s="36">
        <v>3610000</v>
      </c>
      <c r="F72" s="36">
        <v>3015235</v>
      </c>
      <c r="G72" s="71">
        <f t="shared" ref="G72" si="54">+F72/E72</f>
        <v>0.83524515235457064</v>
      </c>
      <c r="H72" s="36">
        <v>0</v>
      </c>
      <c r="I72" s="36">
        <v>0</v>
      </c>
      <c r="J72" s="36">
        <v>0</v>
      </c>
      <c r="K72" s="72"/>
      <c r="L72" s="36">
        <v>0</v>
      </c>
      <c r="M72" s="36">
        <v>0</v>
      </c>
      <c r="N72" s="36">
        <v>0</v>
      </c>
      <c r="O72" s="69"/>
      <c r="P72" s="36">
        <f t="shared" si="51"/>
        <v>3610000</v>
      </c>
      <c r="Q72" s="36">
        <f t="shared" si="52"/>
        <v>3610000</v>
      </c>
      <c r="R72" s="36">
        <f t="shared" si="46"/>
        <v>3015235</v>
      </c>
      <c r="S72" s="71">
        <f>+R72/Q72</f>
        <v>0.83524515235457064</v>
      </c>
    </row>
    <row r="73" spans="1:19" x14ac:dyDescent="0.25">
      <c r="A73" s="8" t="s">
        <v>239</v>
      </c>
      <c r="B73" s="53" t="s">
        <v>313</v>
      </c>
      <c r="C73" s="4" t="s">
        <v>395</v>
      </c>
      <c r="D73" s="36">
        <v>10000000</v>
      </c>
      <c r="E73" s="36">
        <v>35462800</v>
      </c>
      <c r="F73" s="36"/>
      <c r="G73" s="72"/>
      <c r="H73" s="36">
        <v>0</v>
      </c>
      <c r="I73" s="36">
        <v>0</v>
      </c>
      <c r="J73" s="36">
        <v>0</v>
      </c>
      <c r="K73" s="72"/>
      <c r="L73" s="36">
        <v>0</v>
      </c>
      <c r="M73" s="36">
        <v>0</v>
      </c>
      <c r="N73" s="36">
        <v>0</v>
      </c>
      <c r="O73" s="69"/>
      <c r="P73" s="36">
        <f t="shared" si="51"/>
        <v>10000000</v>
      </c>
      <c r="Q73" s="36">
        <f t="shared" si="52"/>
        <v>35462800</v>
      </c>
      <c r="R73" s="36"/>
      <c r="S73" s="72"/>
    </row>
    <row r="74" spans="1:19" x14ac:dyDescent="0.25">
      <c r="A74" s="8" t="s">
        <v>240</v>
      </c>
      <c r="B74" s="54" t="s">
        <v>396</v>
      </c>
      <c r="C74" s="24" t="s">
        <v>380</v>
      </c>
      <c r="D74" s="37">
        <f>+D63+D64+D65+D66+D67+D68+D69+D70+D71+D72+D73</f>
        <v>26325106</v>
      </c>
      <c r="E74" s="37">
        <f t="shared" ref="E74:R74" si="55">+E63+E64+E65+E66+E67+E68+E69+E70+E71+E72+E73</f>
        <v>51787906</v>
      </c>
      <c r="F74" s="70">
        <f t="shared" si="55"/>
        <v>14192475</v>
      </c>
      <c r="G74" s="64">
        <f>+F74/E74</f>
        <v>0.27404998765541899</v>
      </c>
      <c r="H74" s="37">
        <f t="shared" si="55"/>
        <v>0</v>
      </c>
      <c r="I74" s="37">
        <f t="shared" si="55"/>
        <v>0</v>
      </c>
      <c r="J74" s="37">
        <f t="shared" si="55"/>
        <v>0</v>
      </c>
      <c r="K74" s="37"/>
      <c r="L74" s="37">
        <f t="shared" si="55"/>
        <v>0</v>
      </c>
      <c r="M74" s="37">
        <f t="shared" si="55"/>
        <v>0</v>
      </c>
      <c r="N74" s="37">
        <f t="shared" si="55"/>
        <v>0</v>
      </c>
      <c r="O74" s="70"/>
      <c r="P74" s="37">
        <f t="shared" si="55"/>
        <v>26325106</v>
      </c>
      <c r="Q74" s="37">
        <f t="shared" si="55"/>
        <v>51787906</v>
      </c>
      <c r="R74" s="37">
        <f t="shared" si="55"/>
        <v>14192475</v>
      </c>
      <c r="S74" s="81">
        <f>+R74/Q74</f>
        <v>0.27404998765541899</v>
      </c>
    </row>
    <row r="75" spans="1:19" x14ac:dyDescent="0.25">
      <c r="A75" s="8" t="s">
        <v>241</v>
      </c>
      <c r="B75" s="53" t="s">
        <v>314</v>
      </c>
      <c r="C75" s="4" t="s">
        <v>381</v>
      </c>
      <c r="D75" s="36">
        <v>0</v>
      </c>
      <c r="E75" s="36">
        <v>0</v>
      </c>
      <c r="F75" s="36">
        <v>0</v>
      </c>
      <c r="G75" s="72"/>
      <c r="H75" s="36">
        <v>0</v>
      </c>
      <c r="I75" s="36">
        <v>83661</v>
      </c>
      <c r="J75" s="36">
        <v>83661</v>
      </c>
      <c r="K75" s="71">
        <f t="shared" ref="K75:K76" si="56">+J75/I75</f>
        <v>1</v>
      </c>
      <c r="L75" s="36">
        <v>0</v>
      </c>
      <c r="M75" s="36">
        <v>0</v>
      </c>
      <c r="N75" s="36">
        <v>0</v>
      </c>
      <c r="O75" s="69"/>
      <c r="P75" s="36">
        <f t="shared" ref="P75:Q79" si="57">+D75+H75+L75</f>
        <v>0</v>
      </c>
      <c r="Q75" s="36">
        <f t="shared" si="57"/>
        <v>83661</v>
      </c>
      <c r="R75" s="36">
        <f t="shared" si="46"/>
        <v>83661</v>
      </c>
      <c r="S75" s="71">
        <f t="shared" ref="S75:S79" si="58">+R75/Q75</f>
        <v>1</v>
      </c>
    </row>
    <row r="76" spans="1:19" x14ac:dyDescent="0.25">
      <c r="A76" s="8" t="s">
        <v>242</v>
      </c>
      <c r="B76" s="53" t="s">
        <v>315</v>
      </c>
      <c r="C76" s="4" t="s">
        <v>382</v>
      </c>
      <c r="D76" s="36">
        <v>475486057</v>
      </c>
      <c r="E76" s="59">
        <v>475590006</v>
      </c>
      <c r="F76" s="59">
        <v>22423948</v>
      </c>
      <c r="G76" s="71">
        <f t="shared" ref="G76:G79" si="59">+F76/E76</f>
        <v>4.7149746035664172E-2</v>
      </c>
      <c r="H76" s="36">
        <v>0</v>
      </c>
      <c r="I76" s="36">
        <v>200000</v>
      </c>
      <c r="J76" s="36">
        <v>0</v>
      </c>
      <c r="K76" s="71">
        <f t="shared" si="56"/>
        <v>0</v>
      </c>
      <c r="L76" s="36">
        <v>0</v>
      </c>
      <c r="M76" s="36">
        <v>0</v>
      </c>
      <c r="N76" s="36">
        <v>0</v>
      </c>
      <c r="O76" s="69"/>
      <c r="P76" s="36">
        <f t="shared" si="57"/>
        <v>475486057</v>
      </c>
      <c r="Q76" s="36">
        <f t="shared" si="57"/>
        <v>475790006</v>
      </c>
      <c r="R76" s="36">
        <f t="shared" si="46"/>
        <v>22423948</v>
      </c>
      <c r="S76" s="71">
        <f t="shared" si="58"/>
        <v>4.7129926474327836E-2</v>
      </c>
    </row>
    <row r="77" spans="1:19" x14ac:dyDescent="0.25">
      <c r="A77" s="8" t="s">
        <v>243</v>
      </c>
      <c r="B77" s="53" t="s">
        <v>316</v>
      </c>
      <c r="C77" s="4" t="s">
        <v>383</v>
      </c>
      <c r="D77" s="36">
        <v>0</v>
      </c>
      <c r="E77" s="36">
        <v>0</v>
      </c>
      <c r="F77" s="36">
        <v>0</v>
      </c>
      <c r="G77" s="69"/>
      <c r="H77" s="36">
        <v>200000</v>
      </c>
      <c r="I77" s="36">
        <v>128937</v>
      </c>
      <c r="J77" s="36">
        <v>0</v>
      </c>
      <c r="K77" s="71">
        <f t="shared" ref="K77:K79" si="60">+J77/I77</f>
        <v>0</v>
      </c>
      <c r="L77" s="36">
        <v>393700</v>
      </c>
      <c r="M77" s="36">
        <v>393700</v>
      </c>
      <c r="N77" s="36">
        <v>179370</v>
      </c>
      <c r="O77" s="68">
        <f t="shared" ref="O77:O78" si="61">+N77/M77</f>
        <v>0.45560071120142243</v>
      </c>
      <c r="P77" s="36">
        <f t="shared" si="57"/>
        <v>593700</v>
      </c>
      <c r="Q77" s="36">
        <f t="shared" si="57"/>
        <v>522637</v>
      </c>
      <c r="R77" s="36">
        <f t="shared" si="46"/>
        <v>179370</v>
      </c>
      <c r="S77" s="71">
        <f t="shared" si="58"/>
        <v>0.34320187816782965</v>
      </c>
    </row>
    <row r="78" spans="1:19" x14ac:dyDescent="0.25">
      <c r="A78" s="8" t="s">
        <v>244</v>
      </c>
      <c r="B78" s="53" t="s">
        <v>317</v>
      </c>
      <c r="C78" s="4" t="s">
        <v>384</v>
      </c>
      <c r="D78" s="36">
        <v>19338583</v>
      </c>
      <c r="E78" s="59">
        <v>19370859</v>
      </c>
      <c r="F78" s="59">
        <v>32276</v>
      </c>
      <c r="G78" s="71">
        <f t="shared" si="59"/>
        <v>1.6662141828609667E-3</v>
      </c>
      <c r="H78" s="36">
        <v>212598</v>
      </c>
      <c r="I78" s="36">
        <v>329850</v>
      </c>
      <c r="J78" s="36">
        <v>452661</v>
      </c>
      <c r="K78" s="71">
        <f t="shared" si="60"/>
        <v>1.3723237835379718</v>
      </c>
      <c r="L78" s="36">
        <v>1181101</v>
      </c>
      <c r="M78" s="36">
        <v>1181101</v>
      </c>
      <c r="N78" s="36">
        <v>0</v>
      </c>
      <c r="O78" s="68">
        <f t="shared" si="61"/>
        <v>0</v>
      </c>
      <c r="P78" s="36">
        <f t="shared" si="57"/>
        <v>20732282</v>
      </c>
      <c r="Q78" s="36">
        <f t="shared" si="57"/>
        <v>20881810</v>
      </c>
      <c r="R78" s="36">
        <f t="shared" si="46"/>
        <v>484937</v>
      </c>
      <c r="S78" s="71">
        <f t="shared" si="58"/>
        <v>2.3222939007681805E-2</v>
      </c>
    </row>
    <row r="79" spans="1:19" ht="30" x14ac:dyDescent="0.25">
      <c r="A79" s="8" t="s">
        <v>245</v>
      </c>
      <c r="B79" s="53" t="s">
        <v>318</v>
      </c>
      <c r="C79" s="4" t="s">
        <v>397</v>
      </c>
      <c r="D79" s="36">
        <f>13713959</f>
        <v>13713959</v>
      </c>
      <c r="E79" s="59">
        <v>13750743</v>
      </c>
      <c r="F79" s="59">
        <v>6063181</v>
      </c>
      <c r="G79" s="71">
        <f t="shared" si="59"/>
        <v>0.44093479166907562</v>
      </c>
      <c r="H79" s="36">
        <v>111402</v>
      </c>
      <c r="I79" s="36">
        <v>200462</v>
      </c>
      <c r="J79" s="36">
        <v>144808</v>
      </c>
      <c r="K79" s="71">
        <f t="shared" si="60"/>
        <v>0.72237132224561262</v>
      </c>
      <c r="L79" s="36">
        <f>+(+L77+L78)*0.27</f>
        <v>425196.27</v>
      </c>
      <c r="M79" s="36">
        <f>+(+M77+M78)*0.27</f>
        <v>425196.27</v>
      </c>
      <c r="N79" s="36">
        <v>48430</v>
      </c>
      <c r="O79" s="68">
        <f t="shared" ref="O79" si="62">+N79/M79</f>
        <v>0.11390034065915018</v>
      </c>
      <c r="P79" s="36">
        <f t="shared" si="57"/>
        <v>14250557.27</v>
      </c>
      <c r="Q79" s="36">
        <f t="shared" si="57"/>
        <v>14376401.27</v>
      </c>
      <c r="R79" s="36">
        <f t="shared" si="46"/>
        <v>6256419</v>
      </c>
      <c r="S79" s="71">
        <f t="shared" si="58"/>
        <v>0.4351867259754082</v>
      </c>
    </row>
    <row r="80" spans="1:19" x14ac:dyDescent="0.25">
      <c r="A80" s="8" t="s">
        <v>246</v>
      </c>
      <c r="B80" s="30" t="s">
        <v>418</v>
      </c>
      <c r="C80" s="24" t="s">
        <v>398</v>
      </c>
      <c r="D80" s="37">
        <f>SUM(D75:D79)</f>
        <v>508538599</v>
      </c>
      <c r="E80" s="37">
        <f t="shared" ref="E80:R80" si="63">SUM(E75:E79)</f>
        <v>508711608</v>
      </c>
      <c r="F80" s="37">
        <f t="shared" si="63"/>
        <v>28519405</v>
      </c>
      <c r="G80" s="64">
        <f>+F80/E80</f>
        <v>5.6062029156606151E-2</v>
      </c>
      <c r="H80" s="37">
        <f t="shared" si="63"/>
        <v>524000</v>
      </c>
      <c r="I80" s="37">
        <f t="shared" si="63"/>
        <v>942910</v>
      </c>
      <c r="J80" s="37">
        <f t="shared" si="63"/>
        <v>681130</v>
      </c>
      <c r="K80" s="64">
        <f>+J80/I80</f>
        <v>0.72237010955446435</v>
      </c>
      <c r="L80" s="37">
        <f t="shared" si="63"/>
        <v>1999997.27</v>
      </c>
      <c r="M80" s="37">
        <f t="shared" si="63"/>
        <v>1999997.27</v>
      </c>
      <c r="N80" s="37">
        <f t="shared" si="63"/>
        <v>227800</v>
      </c>
      <c r="O80" s="66">
        <f>+N80/M80</f>
        <v>0.11390015547371223</v>
      </c>
      <c r="P80" s="37">
        <f t="shared" si="63"/>
        <v>511062596.26999998</v>
      </c>
      <c r="Q80" s="37">
        <f t="shared" si="63"/>
        <v>511654515.26999998</v>
      </c>
      <c r="R80" s="37">
        <f t="shared" si="63"/>
        <v>29428335</v>
      </c>
      <c r="S80" s="81">
        <f>+R80/Q80</f>
        <v>5.7516027166242586E-2</v>
      </c>
    </row>
    <row r="81" spans="1:19" x14ac:dyDescent="0.25">
      <c r="A81" s="8" t="s">
        <v>247</v>
      </c>
      <c r="B81" s="53" t="s">
        <v>319</v>
      </c>
      <c r="C81" s="4" t="s">
        <v>399</v>
      </c>
      <c r="D81" s="36">
        <v>143307000</v>
      </c>
      <c r="E81" s="59">
        <v>146764828</v>
      </c>
      <c r="F81" s="59">
        <v>2670428</v>
      </c>
      <c r="G81" s="71">
        <f>+F81/E81</f>
        <v>1.8195285862359339E-2</v>
      </c>
      <c r="H81" s="36">
        <v>0</v>
      </c>
      <c r="I81" s="36">
        <v>0</v>
      </c>
      <c r="J81" s="36">
        <v>0</v>
      </c>
      <c r="K81" s="72"/>
      <c r="L81" s="36">
        <v>0</v>
      </c>
      <c r="M81" s="36">
        <v>0</v>
      </c>
      <c r="N81" s="36">
        <v>0</v>
      </c>
      <c r="O81" s="69"/>
      <c r="P81" s="36">
        <f t="shared" ref="P81:Q84" si="64">+D81+H81+L81</f>
        <v>143307000</v>
      </c>
      <c r="Q81" s="36">
        <f t="shared" si="64"/>
        <v>146764828</v>
      </c>
      <c r="R81" s="36">
        <f t="shared" si="46"/>
        <v>2670428</v>
      </c>
      <c r="S81" s="71">
        <f>+R81/Q81</f>
        <v>1.8195285862359339E-2</v>
      </c>
    </row>
    <row r="82" spans="1:19" x14ac:dyDescent="0.25">
      <c r="A82" s="8" t="s">
        <v>248</v>
      </c>
      <c r="B82" s="53" t="s">
        <v>320</v>
      </c>
      <c r="C82" s="4" t="s">
        <v>400</v>
      </c>
      <c r="D82" s="36">
        <v>0</v>
      </c>
      <c r="E82" s="36">
        <v>0</v>
      </c>
      <c r="F82" s="36">
        <v>0</v>
      </c>
      <c r="G82" s="72"/>
      <c r="H82" s="36">
        <v>0</v>
      </c>
      <c r="I82" s="36">
        <v>0</v>
      </c>
      <c r="J82" s="36">
        <v>0</v>
      </c>
      <c r="K82" s="72"/>
      <c r="L82" s="36">
        <v>0</v>
      </c>
      <c r="M82" s="36">
        <v>0</v>
      </c>
      <c r="N82" s="36">
        <v>0</v>
      </c>
      <c r="O82" s="69"/>
      <c r="P82" s="36">
        <f t="shared" si="64"/>
        <v>0</v>
      </c>
      <c r="Q82" s="36">
        <f t="shared" si="64"/>
        <v>0</v>
      </c>
      <c r="R82" s="36">
        <f t="shared" si="46"/>
        <v>0</v>
      </c>
      <c r="S82" s="72"/>
    </row>
    <row r="83" spans="1:19" x14ac:dyDescent="0.25">
      <c r="A83" s="8" t="s">
        <v>249</v>
      </c>
      <c r="B83" s="53" t="s">
        <v>321</v>
      </c>
      <c r="C83" s="4" t="s">
        <v>401</v>
      </c>
      <c r="D83" s="36">
        <v>0</v>
      </c>
      <c r="E83" s="36">
        <v>0</v>
      </c>
      <c r="F83" s="36">
        <v>0</v>
      </c>
      <c r="G83" s="72"/>
      <c r="H83" s="36">
        <v>0</v>
      </c>
      <c r="I83" s="36">
        <v>0</v>
      </c>
      <c r="J83" s="36">
        <v>0</v>
      </c>
      <c r="K83" s="72"/>
      <c r="L83" s="36">
        <v>0</v>
      </c>
      <c r="M83" s="36">
        <v>0</v>
      </c>
      <c r="N83" s="36">
        <v>0</v>
      </c>
      <c r="O83" s="69"/>
      <c r="P83" s="36">
        <f t="shared" si="64"/>
        <v>0</v>
      </c>
      <c r="Q83" s="36">
        <f t="shared" si="64"/>
        <v>0</v>
      </c>
      <c r="R83" s="36">
        <f t="shared" si="46"/>
        <v>0</v>
      </c>
      <c r="S83" s="72"/>
    </row>
    <row r="84" spans="1:19" ht="30" x14ac:dyDescent="0.25">
      <c r="A84" s="8" t="s">
        <v>250</v>
      </c>
      <c r="B84" s="53" t="s">
        <v>322</v>
      </c>
      <c r="C84" s="4" t="s">
        <v>402</v>
      </c>
      <c r="D84" s="36">
        <v>38693000</v>
      </c>
      <c r="E84" s="59">
        <v>39626614</v>
      </c>
      <c r="F84" s="59">
        <v>721016</v>
      </c>
      <c r="G84" s="71">
        <f>+F84/E84</f>
        <v>1.8195246255458517E-2</v>
      </c>
      <c r="H84" s="36">
        <v>0</v>
      </c>
      <c r="I84" s="36">
        <v>0</v>
      </c>
      <c r="J84" s="36">
        <v>0</v>
      </c>
      <c r="K84" s="72"/>
      <c r="L84" s="36">
        <v>0</v>
      </c>
      <c r="M84" s="36">
        <v>0</v>
      </c>
      <c r="N84" s="36">
        <v>0</v>
      </c>
      <c r="O84" s="69"/>
      <c r="P84" s="36">
        <f t="shared" si="64"/>
        <v>38693000</v>
      </c>
      <c r="Q84" s="36">
        <f t="shared" si="64"/>
        <v>39626614</v>
      </c>
      <c r="R84" s="36">
        <f t="shared" si="46"/>
        <v>721016</v>
      </c>
      <c r="S84" s="71">
        <f>+R84/Q84</f>
        <v>1.8195246255458517E-2</v>
      </c>
    </row>
    <row r="85" spans="1:19" x14ac:dyDescent="0.25">
      <c r="A85" s="8" t="s">
        <v>251</v>
      </c>
      <c r="B85" s="30" t="s">
        <v>419</v>
      </c>
      <c r="C85" s="24" t="s">
        <v>403</v>
      </c>
      <c r="D85" s="37">
        <f>SUM(D81:D84)</f>
        <v>182000000</v>
      </c>
      <c r="E85" s="37">
        <f t="shared" ref="E85:R85" si="65">SUM(E81:E84)</f>
        <v>186391442</v>
      </c>
      <c r="F85" s="37">
        <f t="shared" si="65"/>
        <v>3391444</v>
      </c>
      <c r="G85" s="64">
        <f>+F85/E85</f>
        <v>1.8195277441976118E-2</v>
      </c>
      <c r="H85" s="37">
        <f t="shared" si="65"/>
        <v>0</v>
      </c>
      <c r="I85" s="37">
        <f t="shared" si="65"/>
        <v>0</v>
      </c>
      <c r="J85" s="37">
        <v>0</v>
      </c>
      <c r="K85" s="37"/>
      <c r="L85" s="37">
        <f t="shared" si="65"/>
        <v>0</v>
      </c>
      <c r="M85" s="37">
        <f t="shared" si="65"/>
        <v>0</v>
      </c>
      <c r="N85" s="37">
        <f t="shared" si="65"/>
        <v>0</v>
      </c>
      <c r="O85" s="70"/>
      <c r="P85" s="37">
        <f t="shared" si="65"/>
        <v>182000000</v>
      </c>
      <c r="Q85" s="37">
        <f t="shared" si="65"/>
        <v>186391442</v>
      </c>
      <c r="R85" s="37">
        <f t="shared" si="65"/>
        <v>3391444</v>
      </c>
      <c r="S85" s="81">
        <f>+R85/Q85</f>
        <v>1.8195277441976118E-2</v>
      </c>
    </row>
    <row r="86" spans="1:19" ht="30" x14ac:dyDescent="0.25">
      <c r="A86" s="8" t="s">
        <v>252</v>
      </c>
      <c r="B86" s="6" t="s">
        <v>323</v>
      </c>
      <c r="C86" s="4" t="s">
        <v>404</v>
      </c>
      <c r="D86" s="36">
        <v>0</v>
      </c>
      <c r="E86" s="36">
        <v>0</v>
      </c>
      <c r="F86" s="36">
        <v>0</v>
      </c>
      <c r="G86" s="72"/>
      <c r="H86" s="36">
        <v>0</v>
      </c>
      <c r="I86" s="36">
        <v>0</v>
      </c>
      <c r="J86" s="36">
        <v>0</v>
      </c>
      <c r="K86" s="72"/>
      <c r="L86" s="36">
        <v>0</v>
      </c>
      <c r="M86" s="36">
        <v>0</v>
      </c>
      <c r="N86" s="36">
        <v>0</v>
      </c>
      <c r="O86" s="69"/>
      <c r="P86" s="36">
        <f t="shared" ref="P86:Q88" si="66">+D86+H86+L86</f>
        <v>0</v>
      </c>
      <c r="Q86" s="36">
        <f t="shared" si="66"/>
        <v>0</v>
      </c>
      <c r="R86" s="36">
        <f t="shared" si="46"/>
        <v>0</v>
      </c>
      <c r="S86" s="72"/>
    </row>
    <row r="87" spans="1:19" ht="30" x14ac:dyDescent="0.25">
      <c r="A87" s="8" t="s">
        <v>253</v>
      </c>
      <c r="B87" s="6" t="s">
        <v>324</v>
      </c>
      <c r="C87" s="4" t="s">
        <v>405</v>
      </c>
      <c r="D87" s="36">
        <v>0</v>
      </c>
      <c r="E87" s="36">
        <v>0</v>
      </c>
      <c r="F87" s="36">
        <v>0</v>
      </c>
      <c r="G87" s="72"/>
      <c r="H87" s="36">
        <v>0</v>
      </c>
      <c r="I87" s="36">
        <v>0</v>
      </c>
      <c r="J87" s="36">
        <v>0</v>
      </c>
      <c r="K87" s="72"/>
      <c r="L87" s="36">
        <v>0</v>
      </c>
      <c r="M87" s="36">
        <v>0</v>
      </c>
      <c r="N87" s="36">
        <v>0</v>
      </c>
      <c r="O87" s="69"/>
      <c r="P87" s="36">
        <f t="shared" si="66"/>
        <v>0</v>
      </c>
      <c r="Q87" s="36">
        <f t="shared" si="66"/>
        <v>0</v>
      </c>
      <c r="R87" s="36">
        <f t="shared" si="46"/>
        <v>0</v>
      </c>
      <c r="S87" s="72"/>
    </row>
    <row r="88" spans="1:19" ht="30" x14ac:dyDescent="0.25">
      <c r="A88" s="8" t="s">
        <v>254</v>
      </c>
      <c r="B88" s="6" t="s">
        <v>325</v>
      </c>
      <c r="C88" s="4" t="s">
        <v>406</v>
      </c>
      <c r="D88" s="36">
        <v>0</v>
      </c>
      <c r="E88" s="36">
        <v>0</v>
      </c>
      <c r="F88" s="36">
        <v>0</v>
      </c>
      <c r="G88" s="72"/>
      <c r="H88" s="36">
        <v>0</v>
      </c>
      <c r="I88" s="36">
        <v>0</v>
      </c>
      <c r="J88" s="36">
        <v>0</v>
      </c>
      <c r="K88" s="72"/>
      <c r="L88" s="36">
        <v>0</v>
      </c>
      <c r="M88" s="36">
        <v>0</v>
      </c>
      <c r="N88" s="36">
        <v>0</v>
      </c>
      <c r="O88" s="69"/>
      <c r="P88" s="36">
        <f t="shared" si="66"/>
        <v>0</v>
      </c>
      <c r="Q88" s="36">
        <f t="shared" si="66"/>
        <v>0</v>
      </c>
      <c r="R88" s="36">
        <f t="shared" si="46"/>
        <v>0</v>
      </c>
      <c r="S88" s="72"/>
    </row>
    <row r="89" spans="1:19" ht="30" x14ac:dyDescent="0.25">
      <c r="A89" s="8" t="s">
        <v>255</v>
      </c>
      <c r="B89" s="53" t="s">
        <v>326</v>
      </c>
      <c r="C89" s="4" t="s">
        <v>407</v>
      </c>
      <c r="D89" s="36">
        <v>0</v>
      </c>
      <c r="E89" s="59">
        <v>307204</v>
      </c>
      <c r="F89" s="59">
        <v>307204</v>
      </c>
      <c r="G89" s="71">
        <f>+F89/E89</f>
        <v>1</v>
      </c>
      <c r="H89" s="36">
        <v>0</v>
      </c>
      <c r="I89" s="36">
        <v>0</v>
      </c>
      <c r="J89" s="36">
        <v>0</v>
      </c>
      <c r="K89" s="72"/>
      <c r="L89" s="36">
        <v>0</v>
      </c>
      <c r="M89" s="36">
        <v>0</v>
      </c>
      <c r="N89" s="36">
        <v>0</v>
      </c>
      <c r="O89" s="69"/>
      <c r="P89" s="36">
        <f t="shared" ref="P89:P92" si="67">+D89+H89+L89</f>
        <v>0</v>
      </c>
      <c r="Q89" s="36">
        <f t="shared" ref="Q89:Q92" si="68">+E89+I89+M89</f>
        <v>307204</v>
      </c>
      <c r="R89" s="36">
        <f t="shared" si="46"/>
        <v>307204</v>
      </c>
      <c r="S89" s="71">
        <f>+R89/Q89</f>
        <v>1</v>
      </c>
    </row>
    <row r="90" spans="1:19" ht="30" x14ac:dyDescent="0.25">
      <c r="A90" s="8" t="s">
        <v>256</v>
      </c>
      <c r="B90" s="6" t="s">
        <v>327</v>
      </c>
      <c r="C90" s="4" t="s">
        <v>408</v>
      </c>
      <c r="D90" s="36">
        <v>0</v>
      </c>
      <c r="E90" s="36">
        <v>0</v>
      </c>
      <c r="F90" s="36">
        <v>0</v>
      </c>
      <c r="G90" s="72"/>
      <c r="H90" s="36">
        <v>0</v>
      </c>
      <c r="I90" s="36">
        <v>0</v>
      </c>
      <c r="J90" s="36">
        <v>0</v>
      </c>
      <c r="K90" s="72"/>
      <c r="L90" s="36">
        <v>0</v>
      </c>
      <c r="M90" s="36">
        <v>0</v>
      </c>
      <c r="N90" s="36">
        <v>0</v>
      </c>
      <c r="O90" s="69"/>
      <c r="P90" s="36">
        <f t="shared" si="67"/>
        <v>0</v>
      </c>
      <c r="Q90" s="36">
        <f t="shared" si="68"/>
        <v>0</v>
      </c>
      <c r="R90" s="36">
        <f t="shared" si="46"/>
        <v>0</v>
      </c>
      <c r="S90" s="72"/>
    </row>
    <row r="91" spans="1:19" ht="30" x14ac:dyDescent="0.25">
      <c r="A91" s="8" t="s">
        <v>257</v>
      </c>
      <c r="B91" s="6" t="s">
        <v>328</v>
      </c>
      <c r="C91" s="4" t="s">
        <v>409</v>
      </c>
      <c r="D91" s="36">
        <v>0</v>
      </c>
      <c r="E91" s="36">
        <v>0</v>
      </c>
      <c r="F91" s="36">
        <v>0</v>
      </c>
      <c r="G91" s="72"/>
      <c r="H91" s="36">
        <v>0</v>
      </c>
      <c r="I91" s="36">
        <v>0</v>
      </c>
      <c r="J91" s="36">
        <v>0</v>
      </c>
      <c r="K91" s="72"/>
      <c r="L91" s="36">
        <v>0</v>
      </c>
      <c r="M91" s="36">
        <v>0</v>
      </c>
      <c r="N91" s="36">
        <v>0</v>
      </c>
      <c r="O91" s="69"/>
      <c r="P91" s="36">
        <f t="shared" si="67"/>
        <v>0</v>
      </c>
      <c r="Q91" s="36">
        <f t="shared" si="68"/>
        <v>0</v>
      </c>
      <c r="R91" s="36">
        <f t="shared" si="46"/>
        <v>0</v>
      </c>
      <c r="S91" s="72"/>
    </row>
    <row r="92" spans="1:19" ht="30" x14ac:dyDescent="0.25">
      <c r="A92" s="8" t="s">
        <v>258</v>
      </c>
      <c r="B92" s="6" t="s">
        <v>329</v>
      </c>
      <c r="C92" s="4" t="s">
        <v>410</v>
      </c>
      <c r="D92" s="36">
        <v>0</v>
      </c>
      <c r="E92" s="36">
        <v>0</v>
      </c>
      <c r="F92" s="36">
        <v>0</v>
      </c>
      <c r="G92" s="72"/>
      <c r="H92" s="36">
        <v>0</v>
      </c>
      <c r="I92" s="36">
        <v>0</v>
      </c>
      <c r="J92" s="36">
        <v>0</v>
      </c>
      <c r="K92" s="72"/>
      <c r="L92" s="36">
        <v>0</v>
      </c>
      <c r="M92" s="36">
        <v>0</v>
      </c>
      <c r="N92" s="36">
        <v>0</v>
      </c>
      <c r="O92" s="69"/>
      <c r="P92" s="36">
        <f t="shared" si="67"/>
        <v>0</v>
      </c>
      <c r="Q92" s="36">
        <f t="shared" si="68"/>
        <v>0</v>
      </c>
      <c r="R92" s="36">
        <f t="shared" si="46"/>
        <v>0</v>
      </c>
      <c r="S92" s="72"/>
    </row>
    <row r="93" spans="1:19" x14ac:dyDescent="0.25">
      <c r="A93" s="8" t="s">
        <v>259</v>
      </c>
      <c r="B93" s="29" t="s">
        <v>420</v>
      </c>
      <c r="C93" s="24" t="s">
        <v>411</v>
      </c>
      <c r="D93" s="37">
        <f>SUM(D86:D92)</f>
        <v>0</v>
      </c>
      <c r="E93" s="37">
        <f t="shared" ref="E93:R93" si="69">SUM(E86:E92)</f>
        <v>307204</v>
      </c>
      <c r="F93" s="37">
        <f t="shared" si="69"/>
        <v>307204</v>
      </c>
      <c r="G93" s="64">
        <f>+F93/E93</f>
        <v>1</v>
      </c>
      <c r="H93" s="37">
        <f t="shared" si="69"/>
        <v>0</v>
      </c>
      <c r="I93" s="37">
        <f t="shared" si="69"/>
        <v>0</v>
      </c>
      <c r="J93" s="37">
        <f t="shared" ref="J93" si="70">SUM(J88:J92)</f>
        <v>0</v>
      </c>
      <c r="K93" s="37"/>
      <c r="L93" s="37">
        <f t="shared" si="69"/>
        <v>0</v>
      </c>
      <c r="M93" s="37">
        <f t="shared" si="69"/>
        <v>0</v>
      </c>
      <c r="N93" s="37">
        <f t="shared" si="69"/>
        <v>0</v>
      </c>
      <c r="O93" s="70"/>
      <c r="P93" s="37">
        <f t="shared" si="69"/>
        <v>0</v>
      </c>
      <c r="Q93" s="37">
        <f t="shared" si="69"/>
        <v>307204</v>
      </c>
      <c r="R93" s="37">
        <f t="shared" si="69"/>
        <v>307204</v>
      </c>
      <c r="S93" s="81">
        <f>+R93/Q93</f>
        <v>1</v>
      </c>
    </row>
    <row r="94" spans="1:19" s="19" customFormat="1" x14ac:dyDescent="0.25">
      <c r="A94" s="8" t="s">
        <v>260</v>
      </c>
      <c r="B94" s="11" t="s">
        <v>482</v>
      </c>
      <c r="C94" s="20" t="s">
        <v>421</v>
      </c>
      <c r="D94" s="38">
        <f>+D28+D29+D56+D59+D74+D80+D85+D93</f>
        <v>1174096509</v>
      </c>
      <c r="E94" s="38">
        <f t="shared" ref="E94:R94" si="71">+E28+E29+E56+E59+E74+E80+E85+E93</f>
        <v>1207430964</v>
      </c>
      <c r="F94" s="38">
        <f t="shared" si="71"/>
        <v>208237602</v>
      </c>
      <c r="G94" s="65">
        <f>+F94/E94</f>
        <v>0.17246336081207206</v>
      </c>
      <c r="H94" s="38">
        <f t="shared" si="71"/>
        <v>163056997</v>
      </c>
      <c r="I94" s="38">
        <f t="shared" si="71"/>
        <v>167910710</v>
      </c>
      <c r="J94" s="38">
        <f t="shared" si="71"/>
        <v>85749514</v>
      </c>
      <c r="K94" s="65">
        <f>+J94/I94</f>
        <v>0.51068519691209691</v>
      </c>
      <c r="L94" s="38">
        <f t="shared" si="71"/>
        <v>406607296.26999998</v>
      </c>
      <c r="M94" s="38">
        <f t="shared" si="71"/>
        <v>409130908.26999998</v>
      </c>
      <c r="N94" s="38">
        <f t="shared" si="71"/>
        <v>197001522</v>
      </c>
      <c r="O94" s="67">
        <f>+N94/M94</f>
        <v>0.48151219577375887</v>
      </c>
      <c r="P94" s="38">
        <f t="shared" si="71"/>
        <v>1743760802.27</v>
      </c>
      <c r="Q94" s="38">
        <f t="shared" si="71"/>
        <v>1784472582.27</v>
      </c>
      <c r="R94" s="38">
        <f t="shared" si="71"/>
        <v>490988638</v>
      </c>
      <c r="S94" s="65">
        <f>+R94/Q94</f>
        <v>0.27514496040921005</v>
      </c>
    </row>
    <row r="96" spans="1:19" ht="18.75" x14ac:dyDescent="0.25">
      <c r="A96" s="126" t="s">
        <v>52</v>
      </c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18"/>
      <c r="S96" s="118"/>
    </row>
    <row r="97" spans="1:19" x14ac:dyDescent="0.25">
      <c r="A97" s="115" t="s">
        <v>0</v>
      </c>
      <c r="B97" s="4" t="s">
        <v>1</v>
      </c>
      <c r="C97" s="4" t="s">
        <v>2</v>
      </c>
      <c r="D97" s="2" t="s">
        <v>3</v>
      </c>
      <c r="E97" s="2" t="s">
        <v>4</v>
      </c>
      <c r="F97" s="13" t="s">
        <v>5</v>
      </c>
      <c r="G97" s="13" t="s">
        <v>6</v>
      </c>
      <c r="H97" s="13" t="s">
        <v>7</v>
      </c>
      <c r="I97" s="13" t="s">
        <v>8</v>
      </c>
      <c r="J97" s="13" t="s">
        <v>9</v>
      </c>
      <c r="K97" s="13" t="s">
        <v>55</v>
      </c>
      <c r="L97" s="13" t="s">
        <v>582</v>
      </c>
      <c r="M97" s="13" t="s">
        <v>583</v>
      </c>
      <c r="N97" s="13" t="s">
        <v>584</v>
      </c>
      <c r="O97" s="13" t="s">
        <v>585</v>
      </c>
      <c r="P97" s="13" t="s">
        <v>586</v>
      </c>
      <c r="Q97" s="13" t="s">
        <v>587</v>
      </c>
      <c r="R97" s="13" t="s">
        <v>588</v>
      </c>
      <c r="S97" s="13" t="s">
        <v>589</v>
      </c>
    </row>
    <row r="98" spans="1:19" ht="45.75" customHeight="1" x14ac:dyDescent="0.25">
      <c r="A98" s="115"/>
      <c r="B98" s="115" t="s">
        <v>10</v>
      </c>
      <c r="C98" s="115" t="s">
        <v>54</v>
      </c>
      <c r="D98" s="94" t="s">
        <v>16</v>
      </c>
      <c r="E98" s="95"/>
      <c r="F98" s="96"/>
      <c r="G98" s="97"/>
      <c r="H98" s="94" t="s">
        <v>15</v>
      </c>
      <c r="I98" s="95"/>
      <c r="J98" s="96"/>
      <c r="K98" s="97"/>
      <c r="L98" s="105" t="s">
        <v>539</v>
      </c>
      <c r="M98" s="121"/>
      <c r="N98" s="96"/>
      <c r="O98" s="97"/>
      <c r="P98" s="94" t="s">
        <v>43</v>
      </c>
      <c r="Q98" s="95"/>
      <c r="R98" s="101"/>
      <c r="S98" s="101"/>
    </row>
    <row r="99" spans="1:19" x14ac:dyDescent="0.25">
      <c r="A99" s="115"/>
      <c r="B99" s="124"/>
      <c r="C99" s="124"/>
      <c r="D99" s="1" t="s">
        <v>11</v>
      </c>
      <c r="E99" s="1" t="s">
        <v>12</v>
      </c>
      <c r="F99" s="98" t="s">
        <v>581</v>
      </c>
      <c r="G99" s="99"/>
      <c r="H99" s="1" t="s">
        <v>11</v>
      </c>
      <c r="I99" s="1" t="s">
        <v>12</v>
      </c>
      <c r="J99" s="98" t="s">
        <v>581</v>
      </c>
      <c r="K99" s="99"/>
      <c r="L99" s="1" t="s">
        <v>11</v>
      </c>
      <c r="M99" s="1" t="s">
        <v>12</v>
      </c>
      <c r="N99" s="98" t="s">
        <v>581</v>
      </c>
      <c r="O99" s="99"/>
      <c r="P99" s="1" t="s">
        <v>11</v>
      </c>
      <c r="Q99" s="1" t="s">
        <v>12</v>
      </c>
      <c r="R99" s="98" t="s">
        <v>581</v>
      </c>
      <c r="S99" s="99"/>
    </row>
    <row r="100" spans="1:19" x14ac:dyDescent="0.25">
      <c r="A100" s="115"/>
      <c r="B100" s="124"/>
      <c r="C100" s="124"/>
      <c r="D100" s="112" t="s">
        <v>13</v>
      </c>
      <c r="E100" s="113"/>
      <c r="F100" s="100"/>
      <c r="G100" s="100"/>
      <c r="H100" s="112" t="s">
        <v>13</v>
      </c>
      <c r="I100" s="112"/>
      <c r="J100" s="100"/>
      <c r="K100" s="100"/>
      <c r="L100" s="112" t="s">
        <v>13</v>
      </c>
      <c r="M100" s="112"/>
      <c r="N100" s="100"/>
      <c r="O100" s="100"/>
      <c r="P100" s="112" t="s">
        <v>13</v>
      </c>
      <c r="Q100" s="112"/>
      <c r="R100" s="100"/>
      <c r="S100" s="100"/>
    </row>
    <row r="101" spans="1:19" ht="30" x14ac:dyDescent="0.25">
      <c r="A101" s="4" t="s">
        <v>483</v>
      </c>
      <c r="B101" s="6" t="s">
        <v>431</v>
      </c>
      <c r="C101" s="8" t="s">
        <v>448</v>
      </c>
      <c r="D101" s="36">
        <v>0</v>
      </c>
      <c r="E101" s="36">
        <v>0</v>
      </c>
      <c r="F101" s="36">
        <v>0</v>
      </c>
      <c r="G101" s="72"/>
      <c r="H101" s="36">
        <v>0</v>
      </c>
      <c r="I101" s="36">
        <v>0</v>
      </c>
      <c r="J101" s="36">
        <v>0</v>
      </c>
      <c r="K101" s="72"/>
      <c r="L101" s="36">
        <v>0</v>
      </c>
      <c r="M101" s="36">
        <v>0</v>
      </c>
      <c r="N101" s="36">
        <v>0</v>
      </c>
      <c r="O101" s="69"/>
      <c r="P101" s="36">
        <f>+D101+H101+L101</f>
        <v>0</v>
      </c>
      <c r="Q101" s="36">
        <f>+E101+I101+M101</f>
        <v>0</v>
      </c>
      <c r="R101" s="36">
        <f>+F101+J101+N101</f>
        <v>0</v>
      </c>
      <c r="S101" s="72"/>
    </row>
    <row r="102" spans="1:19" ht="30" x14ac:dyDescent="0.25">
      <c r="A102" s="4" t="s">
        <v>484</v>
      </c>
      <c r="B102" s="6" t="s">
        <v>432</v>
      </c>
      <c r="C102" s="8" t="s">
        <v>449</v>
      </c>
      <c r="D102" s="36">
        <v>0</v>
      </c>
      <c r="E102" s="36">
        <v>0</v>
      </c>
      <c r="F102" s="36">
        <v>0</v>
      </c>
      <c r="G102" s="72"/>
      <c r="H102" s="36">
        <v>0</v>
      </c>
      <c r="I102" s="36">
        <v>0</v>
      </c>
      <c r="J102" s="36">
        <v>0</v>
      </c>
      <c r="K102" s="72"/>
      <c r="L102" s="36">
        <v>0</v>
      </c>
      <c r="M102" s="36">
        <v>0</v>
      </c>
      <c r="N102" s="36">
        <v>0</v>
      </c>
      <c r="O102" s="69"/>
      <c r="P102" s="36">
        <f>+D102+H102+L102</f>
        <v>0</v>
      </c>
      <c r="Q102" s="36">
        <f>+E102+I102+M102</f>
        <v>0</v>
      </c>
      <c r="R102" s="36">
        <f t="shared" ref="R102:R103" si="72">+F102+J102+N102</f>
        <v>0</v>
      </c>
      <c r="S102" s="72"/>
    </row>
    <row r="103" spans="1:19" ht="30" x14ac:dyDescent="0.25">
      <c r="A103" s="4" t="s">
        <v>485</v>
      </c>
      <c r="B103" s="6" t="s">
        <v>433</v>
      </c>
      <c r="C103" s="8" t="s">
        <v>450</v>
      </c>
      <c r="D103" s="36">
        <v>0</v>
      </c>
      <c r="E103" s="36">
        <v>0</v>
      </c>
      <c r="F103" s="36">
        <v>0</v>
      </c>
      <c r="G103" s="72"/>
      <c r="H103" s="36">
        <v>0</v>
      </c>
      <c r="I103" s="36">
        <v>0</v>
      </c>
      <c r="J103" s="36">
        <v>0</v>
      </c>
      <c r="K103" s="72"/>
      <c r="L103" s="36">
        <v>0</v>
      </c>
      <c r="M103" s="36">
        <v>0</v>
      </c>
      <c r="N103" s="36">
        <v>0</v>
      </c>
      <c r="O103" s="69"/>
      <c r="P103" s="36">
        <f>+D103+H103+L103</f>
        <v>0</v>
      </c>
      <c r="Q103" s="36">
        <f>+E103+I103+M103</f>
        <v>0</v>
      </c>
      <c r="R103" s="36">
        <f t="shared" si="72"/>
        <v>0</v>
      </c>
      <c r="S103" s="72"/>
    </row>
    <row r="104" spans="1:19" ht="30" x14ac:dyDescent="0.25">
      <c r="A104" s="4" t="s">
        <v>486</v>
      </c>
      <c r="B104" s="27" t="s">
        <v>434</v>
      </c>
      <c r="C104" s="25" t="s">
        <v>451</v>
      </c>
      <c r="D104" s="40">
        <f>SUM(D101:D103)</f>
        <v>0</v>
      </c>
      <c r="E104" s="40">
        <f t="shared" ref="E104:R104" si="73">SUM(E101:E103)</f>
        <v>0</v>
      </c>
      <c r="F104" s="40">
        <f t="shared" ref="F104" si="74">SUM(F97:F103)</f>
        <v>0</v>
      </c>
      <c r="G104" s="64"/>
      <c r="H104" s="40">
        <f t="shared" si="73"/>
        <v>0</v>
      </c>
      <c r="I104" s="40">
        <f t="shared" si="73"/>
        <v>0</v>
      </c>
      <c r="J104" s="40">
        <f t="shared" si="73"/>
        <v>0</v>
      </c>
      <c r="K104" s="37"/>
      <c r="L104" s="40">
        <f t="shared" si="73"/>
        <v>0</v>
      </c>
      <c r="M104" s="40">
        <f t="shared" si="73"/>
        <v>0</v>
      </c>
      <c r="N104" s="40">
        <f t="shared" si="73"/>
        <v>0</v>
      </c>
      <c r="O104" s="70"/>
      <c r="P104" s="40">
        <f t="shared" si="73"/>
        <v>0</v>
      </c>
      <c r="Q104" s="40">
        <f t="shared" si="73"/>
        <v>0</v>
      </c>
      <c r="R104" s="40">
        <f t="shared" si="73"/>
        <v>0</v>
      </c>
      <c r="S104" s="37"/>
    </row>
    <row r="105" spans="1:19" x14ac:dyDescent="0.25">
      <c r="A105" s="4" t="s">
        <v>487</v>
      </c>
      <c r="B105" s="6" t="s">
        <v>435</v>
      </c>
      <c r="C105" s="8" t="s">
        <v>452</v>
      </c>
      <c r="D105" s="36">
        <v>0</v>
      </c>
      <c r="E105" s="59">
        <v>68856490</v>
      </c>
      <c r="F105" s="59">
        <v>68856490</v>
      </c>
      <c r="G105" s="71">
        <f>+F105/E105</f>
        <v>1</v>
      </c>
      <c r="H105" s="36">
        <v>0</v>
      </c>
      <c r="I105" s="36">
        <v>0</v>
      </c>
      <c r="J105" s="36">
        <v>0</v>
      </c>
      <c r="K105" s="72"/>
      <c r="L105" s="36">
        <v>0</v>
      </c>
      <c r="M105" s="36">
        <v>0</v>
      </c>
      <c r="N105" s="36">
        <v>0</v>
      </c>
      <c r="O105" s="69"/>
      <c r="P105" s="36">
        <f t="shared" ref="P105:P110" si="75">+D105+H105+L105</f>
        <v>0</v>
      </c>
      <c r="Q105" s="36">
        <f t="shared" ref="Q105:Q110" si="76">+E105+I105+M105</f>
        <v>68856490</v>
      </c>
      <c r="R105" s="36">
        <f t="shared" ref="R105:R110" si="77">+F105+J105+N105</f>
        <v>68856490</v>
      </c>
      <c r="S105" s="71">
        <f>+R105/Q105</f>
        <v>1</v>
      </c>
    </row>
    <row r="106" spans="1:19" x14ac:dyDescent="0.25">
      <c r="A106" s="4" t="s">
        <v>488</v>
      </c>
      <c r="B106" s="6" t="s">
        <v>436</v>
      </c>
      <c r="C106" s="8" t="s">
        <v>453</v>
      </c>
      <c r="D106" s="36">
        <v>0</v>
      </c>
      <c r="E106" s="36">
        <v>0</v>
      </c>
      <c r="F106" s="36">
        <v>0</v>
      </c>
      <c r="G106" s="72"/>
      <c r="H106" s="36">
        <v>0</v>
      </c>
      <c r="I106" s="36">
        <v>0</v>
      </c>
      <c r="J106" s="36">
        <v>0</v>
      </c>
      <c r="K106" s="72"/>
      <c r="L106" s="36">
        <v>0</v>
      </c>
      <c r="M106" s="36">
        <v>0</v>
      </c>
      <c r="N106" s="36">
        <v>0</v>
      </c>
      <c r="O106" s="69"/>
      <c r="P106" s="36">
        <f t="shared" si="75"/>
        <v>0</v>
      </c>
      <c r="Q106" s="36">
        <f t="shared" si="76"/>
        <v>0</v>
      </c>
      <c r="R106" s="36">
        <f t="shared" si="77"/>
        <v>0</v>
      </c>
      <c r="S106" s="72"/>
    </row>
    <row r="107" spans="1:19" x14ac:dyDescent="0.25">
      <c r="A107" s="4" t="s">
        <v>489</v>
      </c>
      <c r="B107" s="6" t="s">
        <v>437</v>
      </c>
      <c r="C107" s="8" t="s">
        <v>454</v>
      </c>
      <c r="D107" s="36">
        <v>0</v>
      </c>
      <c r="E107" s="36">
        <v>0</v>
      </c>
      <c r="F107" s="36">
        <v>0</v>
      </c>
      <c r="G107" s="72"/>
      <c r="H107" s="36">
        <v>0</v>
      </c>
      <c r="I107" s="36">
        <v>0</v>
      </c>
      <c r="J107" s="36">
        <v>0</v>
      </c>
      <c r="K107" s="72"/>
      <c r="L107" s="36">
        <v>0</v>
      </c>
      <c r="M107" s="36">
        <v>0</v>
      </c>
      <c r="N107" s="36">
        <v>0</v>
      </c>
      <c r="O107" s="69"/>
      <c r="P107" s="36">
        <f t="shared" si="75"/>
        <v>0</v>
      </c>
      <c r="Q107" s="36">
        <f t="shared" si="76"/>
        <v>0</v>
      </c>
      <c r="R107" s="36">
        <f t="shared" si="77"/>
        <v>0</v>
      </c>
      <c r="S107" s="72"/>
    </row>
    <row r="108" spans="1:19" x14ac:dyDescent="0.25">
      <c r="A108" s="4" t="s">
        <v>490</v>
      </c>
      <c r="B108" s="6" t="s">
        <v>438</v>
      </c>
      <c r="C108" s="8" t="s">
        <v>455</v>
      </c>
      <c r="D108" s="36">
        <v>0</v>
      </c>
      <c r="E108" s="36">
        <v>0</v>
      </c>
      <c r="F108" s="36">
        <v>0</v>
      </c>
      <c r="G108" s="72"/>
      <c r="H108" s="36">
        <v>0</v>
      </c>
      <c r="I108" s="36">
        <v>0</v>
      </c>
      <c r="J108" s="36">
        <v>0</v>
      </c>
      <c r="K108" s="72"/>
      <c r="L108" s="36">
        <v>0</v>
      </c>
      <c r="M108" s="36">
        <v>0</v>
      </c>
      <c r="N108" s="36">
        <v>0</v>
      </c>
      <c r="O108" s="69"/>
      <c r="P108" s="36">
        <f t="shared" si="75"/>
        <v>0</v>
      </c>
      <c r="Q108" s="36">
        <f t="shared" si="76"/>
        <v>0</v>
      </c>
      <c r="R108" s="36">
        <f t="shared" si="77"/>
        <v>0</v>
      </c>
      <c r="S108" s="72"/>
    </row>
    <row r="109" spans="1:19" x14ac:dyDescent="0.25">
      <c r="A109" s="4" t="s">
        <v>491</v>
      </c>
      <c r="B109" s="6" t="s">
        <v>439</v>
      </c>
      <c r="C109" s="8" t="s">
        <v>456</v>
      </c>
      <c r="D109" s="36">
        <v>0</v>
      </c>
      <c r="E109" s="36">
        <v>0</v>
      </c>
      <c r="F109" s="36">
        <v>0</v>
      </c>
      <c r="G109" s="72"/>
      <c r="H109" s="36">
        <v>0</v>
      </c>
      <c r="I109" s="36">
        <v>0</v>
      </c>
      <c r="J109" s="36">
        <v>0</v>
      </c>
      <c r="K109" s="72"/>
      <c r="L109" s="36">
        <v>0</v>
      </c>
      <c r="M109" s="36">
        <v>0</v>
      </c>
      <c r="N109" s="36">
        <v>0</v>
      </c>
      <c r="O109" s="69"/>
      <c r="P109" s="36">
        <f t="shared" si="75"/>
        <v>0</v>
      </c>
      <c r="Q109" s="36">
        <f t="shared" si="76"/>
        <v>0</v>
      </c>
      <c r="R109" s="36">
        <f t="shared" si="77"/>
        <v>0</v>
      </c>
      <c r="S109" s="72"/>
    </row>
    <row r="110" spans="1:19" x14ac:dyDescent="0.25">
      <c r="A110" s="4" t="s">
        <v>492</v>
      </c>
      <c r="B110" s="6" t="s">
        <v>440</v>
      </c>
      <c r="C110" s="8" t="s">
        <v>457</v>
      </c>
      <c r="D110" s="36">
        <v>0</v>
      </c>
      <c r="E110" s="36">
        <v>0</v>
      </c>
      <c r="F110" s="36">
        <v>0</v>
      </c>
      <c r="G110" s="72"/>
      <c r="H110" s="36">
        <v>0</v>
      </c>
      <c r="I110" s="36">
        <v>0</v>
      </c>
      <c r="J110" s="36">
        <v>0</v>
      </c>
      <c r="K110" s="72"/>
      <c r="L110" s="36">
        <v>0</v>
      </c>
      <c r="M110" s="36">
        <v>0</v>
      </c>
      <c r="N110" s="36">
        <v>0</v>
      </c>
      <c r="O110" s="69"/>
      <c r="P110" s="36">
        <f t="shared" si="75"/>
        <v>0</v>
      </c>
      <c r="Q110" s="36">
        <f t="shared" si="76"/>
        <v>0</v>
      </c>
      <c r="R110" s="36">
        <f t="shared" si="77"/>
        <v>0</v>
      </c>
      <c r="S110" s="72"/>
    </row>
    <row r="111" spans="1:19" x14ac:dyDescent="0.25">
      <c r="A111" s="4" t="s">
        <v>493</v>
      </c>
      <c r="B111" s="27" t="s">
        <v>441</v>
      </c>
      <c r="C111" s="25" t="s">
        <v>458</v>
      </c>
      <c r="D111" s="40">
        <f>SUM(D105:D110)</f>
        <v>0</v>
      </c>
      <c r="E111" s="40">
        <f t="shared" ref="E111:R111" si="78">SUM(E105:E110)</f>
        <v>68856490</v>
      </c>
      <c r="F111" s="40">
        <f t="shared" ref="F111" si="79">SUM(F104:F110)</f>
        <v>68856490</v>
      </c>
      <c r="G111" s="64">
        <f>+F111/E111</f>
        <v>1</v>
      </c>
      <c r="H111" s="40">
        <f t="shared" si="78"/>
        <v>0</v>
      </c>
      <c r="I111" s="40">
        <f t="shared" si="78"/>
        <v>0</v>
      </c>
      <c r="J111" s="40">
        <f t="shared" si="78"/>
        <v>0</v>
      </c>
      <c r="K111" s="37"/>
      <c r="L111" s="40">
        <f t="shared" si="78"/>
        <v>0</v>
      </c>
      <c r="M111" s="40">
        <f t="shared" si="78"/>
        <v>0</v>
      </c>
      <c r="N111" s="40">
        <f t="shared" si="78"/>
        <v>0</v>
      </c>
      <c r="O111" s="70"/>
      <c r="P111" s="40">
        <f t="shared" si="78"/>
        <v>0</v>
      </c>
      <c r="Q111" s="40">
        <f t="shared" si="78"/>
        <v>68856490</v>
      </c>
      <c r="R111" s="40">
        <f t="shared" si="78"/>
        <v>68856490</v>
      </c>
      <c r="S111" s="81">
        <f>+R111/Q111</f>
        <v>1</v>
      </c>
    </row>
    <row r="112" spans="1:19" ht="30" x14ac:dyDescent="0.25">
      <c r="A112" s="4" t="s">
        <v>494</v>
      </c>
      <c r="B112" s="6" t="s">
        <v>442</v>
      </c>
      <c r="C112" s="8" t="s">
        <v>459</v>
      </c>
      <c r="D112" s="36">
        <v>0</v>
      </c>
      <c r="E112" s="36">
        <v>0</v>
      </c>
      <c r="F112" s="36">
        <v>0</v>
      </c>
      <c r="G112" s="72"/>
      <c r="H112" s="36">
        <v>0</v>
      </c>
      <c r="I112" s="36">
        <v>0</v>
      </c>
      <c r="J112" s="36">
        <v>0</v>
      </c>
      <c r="K112" s="72"/>
      <c r="L112" s="36">
        <v>0</v>
      </c>
      <c r="M112" s="36">
        <v>0</v>
      </c>
      <c r="N112" s="36">
        <v>0</v>
      </c>
      <c r="O112" s="69"/>
      <c r="P112" s="36">
        <f>+D112+H112+L112</f>
        <v>0</v>
      </c>
      <c r="Q112" s="36">
        <f t="shared" ref="Q112:Q117" si="80">+E112+I112+M112</f>
        <v>0</v>
      </c>
      <c r="R112" s="36">
        <f t="shared" ref="R112:R117" si="81">+F112+J112+N112</f>
        <v>0</v>
      </c>
      <c r="S112" s="72"/>
    </row>
    <row r="113" spans="1:19" ht="30" x14ac:dyDescent="0.25">
      <c r="A113" s="4" t="s">
        <v>495</v>
      </c>
      <c r="B113" s="6" t="s">
        <v>443</v>
      </c>
      <c r="C113" s="8" t="s">
        <v>460</v>
      </c>
      <c r="D113" s="36">
        <v>20065423</v>
      </c>
      <c r="E113" s="36">
        <v>20065423</v>
      </c>
      <c r="F113" s="36">
        <v>20065423</v>
      </c>
      <c r="G113" s="71">
        <f>+F113/E113</f>
        <v>1</v>
      </c>
      <c r="H113" s="36">
        <v>0</v>
      </c>
      <c r="I113" s="36">
        <v>0</v>
      </c>
      <c r="J113" s="36">
        <v>0</v>
      </c>
      <c r="K113" s="72"/>
      <c r="L113" s="36">
        <v>0</v>
      </c>
      <c r="M113" s="36">
        <v>0</v>
      </c>
      <c r="N113" s="36">
        <v>0</v>
      </c>
      <c r="O113" s="69"/>
      <c r="P113" s="36">
        <f>+D113+H113+L113</f>
        <v>20065423</v>
      </c>
      <c r="Q113" s="36">
        <f t="shared" si="80"/>
        <v>20065423</v>
      </c>
      <c r="R113" s="36">
        <f t="shared" si="81"/>
        <v>20065423</v>
      </c>
      <c r="S113" s="71">
        <f>+R113/Q113</f>
        <v>1</v>
      </c>
    </row>
    <row r="114" spans="1:19" x14ac:dyDescent="0.25">
      <c r="A114" s="4" t="s">
        <v>496</v>
      </c>
      <c r="B114" s="6" t="s">
        <v>444</v>
      </c>
      <c r="C114" s="8" t="s">
        <v>461</v>
      </c>
      <c r="D114" s="36">
        <v>0</v>
      </c>
      <c r="E114" s="36">
        <v>0</v>
      </c>
      <c r="F114" s="36">
        <v>0</v>
      </c>
      <c r="G114" s="72"/>
      <c r="H114" s="36">
        <v>0</v>
      </c>
      <c r="I114" s="36">
        <v>0</v>
      </c>
      <c r="J114" s="36">
        <v>0</v>
      </c>
      <c r="K114" s="72"/>
      <c r="L114" s="36">
        <v>0</v>
      </c>
      <c r="M114" s="36">
        <v>0</v>
      </c>
      <c r="N114" s="36">
        <v>0</v>
      </c>
      <c r="O114" s="69"/>
      <c r="P114" s="36">
        <f>+D114+H114+L114</f>
        <v>0</v>
      </c>
      <c r="Q114" s="36">
        <f t="shared" si="80"/>
        <v>0</v>
      </c>
      <c r="R114" s="36">
        <f t="shared" si="81"/>
        <v>0</v>
      </c>
      <c r="S114" s="72"/>
    </row>
    <row r="115" spans="1:19" x14ac:dyDescent="0.25">
      <c r="A115" s="4" t="s">
        <v>497</v>
      </c>
      <c r="B115" s="6" t="s">
        <v>445</v>
      </c>
      <c r="C115" s="8" t="s">
        <v>462</v>
      </c>
      <c r="D115" s="36">
        <v>0</v>
      </c>
      <c r="E115" s="36">
        <v>0</v>
      </c>
      <c r="F115" s="36">
        <v>0</v>
      </c>
      <c r="G115" s="72"/>
      <c r="H115" s="36">
        <v>0</v>
      </c>
      <c r="I115" s="36">
        <v>0</v>
      </c>
      <c r="J115" s="36">
        <v>0</v>
      </c>
      <c r="K115" s="72"/>
      <c r="L115" s="36">
        <v>0</v>
      </c>
      <c r="M115" s="36">
        <v>0</v>
      </c>
      <c r="N115" s="36">
        <v>0</v>
      </c>
      <c r="O115" s="69"/>
      <c r="P115" s="36">
        <f>+D115+H115+L115</f>
        <v>0</v>
      </c>
      <c r="Q115" s="36">
        <f t="shared" si="80"/>
        <v>0</v>
      </c>
      <c r="R115" s="36">
        <f t="shared" si="81"/>
        <v>0</v>
      </c>
      <c r="S115" s="72"/>
    </row>
    <row r="116" spans="1:19" x14ac:dyDescent="0.25">
      <c r="A116" s="4" t="s">
        <v>498</v>
      </c>
      <c r="B116" s="6" t="s">
        <v>446</v>
      </c>
      <c r="C116" s="8" t="s">
        <v>463</v>
      </c>
      <c r="D116" s="36">
        <v>0</v>
      </c>
      <c r="E116" s="36">
        <v>0</v>
      </c>
      <c r="F116" s="36">
        <v>0</v>
      </c>
      <c r="G116" s="72"/>
      <c r="H116" s="36">
        <v>0</v>
      </c>
      <c r="I116" s="36">
        <v>0</v>
      </c>
      <c r="J116" s="36">
        <v>0</v>
      </c>
      <c r="K116" s="72"/>
      <c r="L116" s="36">
        <v>0</v>
      </c>
      <c r="M116" s="36">
        <v>0</v>
      </c>
      <c r="N116" s="36">
        <v>0</v>
      </c>
      <c r="O116" s="69"/>
      <c r="P116" s="36">
        <f>+D116+H116+L116</f>
        <v>0</v>
      </c>
      <c r="Q116" s="36">
        <f t="shared" si="80"/>
        <v>0</v>
      </c>
      <c r="R116" s="36">
        <f t="shared" si="81"/>
        <v>0</v>
      </c>
      <c r="S116" s="72"/>
    </row>
    <row r="117" spans="1:19" ht="30" x14ac:dyDescent="0.25">
      <c r="A117" s="4" t="s">
        <v>499</v>
      </c>
      <c r="B117" s="6" t="s">
        <v>447</v>
      </c>
      <c r="C117" s="8" t="s">
        <v>464</v>
      </c>
      <c r="D117" s="36">
        <v>0</v>
      </c>
      <c r="E117" s="36">
        <v>0</v>
      </c>
      <c r="F117" s="36">
        <v>0</v>
      </c>
      <c r="G117" s="72"/>
      <c r="H117" s="36">
        <v>0</v>
      </c>
      <c r="I117" s="36">
        <v>0</v>
      </c>
      <c r="J117" s="36">
        <v>0</v>
      </c>
      <c r="K117" s="72"/>
      <c r="L117" s="36">
        <v>0</v>
      </c>
      <c r="M117" s="36">
        <v>0</v>
      </c>
      <c r="N117" s="36">
        <v>0</v>
      </c>
      <c r="O117" s="69"/>
      <c r="P117" s="36">
        <f t="shared" ref="P117" si="82">+D117+H117+L117</f>
        <v>0</v>
      </c>
      <c r="Q117" s="36">
        <f t="shared" si="80"/>
        <v>0</v>
      </c>
      <c r="R117" s="36">
        <f t="shared" si="81"/>
        <v>0</v>
      </c>
      <c r="S117" s="72"/>
    </row>
    <row r="118" spans="1:19" x14ac:dyDescent="0.25">
      <c r="A118" s="4" t="s">
        <v>500</v>
      </c>
      <c r="B118" s="9" t="s">
        <v>502</v>
      </c>
      <c r="C118" s="22" t="s">
        <v>465</v>
      </c>
      <c r="D118" s="38">
        <f>+D104+D111+D112+D113+D114+D115+D116+D117</f>
        <v>20065423</v>
      </c>
      <c r="E118" s="38">
        <f t="shared" ref="E118:R118" si="83">+E104+E111+E112+E113+E114+E115+E116+E117</f>
        <v>88921913</v>
      </c>
      <c r="F118" s="38">
        <f t="shared" ref="F118" si="84">SUM(F111:F117)</f>
        <v>88921913</v>
      </c>
      <c r="G118" s="65">
        <f>+F118/E118</f>
        <v>1</v>
      </c>
      <c r="H118" s="38">
        <f t="shared" si="83"/>
        <v>0</v>
      </c>
      <c r="I118" s="38">
        <f t="shared" si="83"/>
        <v>0</v>
      </c>
      <c r="J118" s="38">
        <f t="shared" si="83"/>
        <v>0</v>
      </c>
      <c r="K118" s="38"/>
      <c r="L118" s="38">
        <f t="shared" si="83"/>
        <v>0</v>
      </c>
      <c r="M118" s="38">
        <f t="shared" si="83"/>
        <v>0</v>
      </c>
      <c r="N118" s="38">
        <f t="shared" si="83"/>
        <v>0</v>
      </c>
      <c r="O118" s="74"/>
      <c r="P118" s="38">
        <f t="shared" si="83"/>
        <v>20065423</v>
      </c>
      <c r="Q118" s="38">
        <f t="shared" si="83"/>
        <v>88921913</v>
      </c>
      <c r="R118" s="38">
        <f t="shared" si="83"/>
        <v>88921913</v>
      </c>
      <c r="S118" s="65">
        <f>+R118/Q118</f>
        <v>1</v>
      </c>
    </row>
    <row r="119" spans="1:19" x14ac:dyDescent="0.25">
      <c r="A119" s="3"/>
      <c r="D119" s="39"/>
      <c r="E119" s="39"/>
      <c r="F119" s="39"/>
      <c r="G119" s="57"/>
      <c r="H119" s="39"/>
      <c r="I119" s="39"/>
      <c r="J119" s="39"/>
      <c r="K119" s="57"/>
      <c r="L119" s="39"/>
      <c r="M119" s="39"/>
      <c r="N119" s="39"/>
      <c r="O119" s="75"/>
      <c r="P119" s="39"/>
      <c r="Q119" s="39"/>
      <c r="R119" s="39"/>
      <c r="S119" s="57"/>
    </row>
    <row r="120" spans="1:19" ht="30" x14ac:dyDescent="0.25">
      <c r="A120" s="4" t="s">
        <v>501</v>
      </c>
      <c r="B120" s="31" t="s">
        <v>503</v>
      </c>
      <c r="C120" s="10" t="s">
        <v>474</v>
      </c>
      <c r="D120" s="38">
        <f>+D94+D118</f>
        <v>1194161932</v>
      </c>
      <c r="E120" s="38">
        <f t="shared" ref="E120:R120" si="85">+E94+E118</f>
        <v>1296352877</v>
      </c>
      <c r="F120" s="38">
        <f t="shared" si="85"/>
        <v>297159515</v>
      </c>
      <c r="G120" s="65">
        <f>+F120/E120</f>
        <v>0.22922733483469562</v>
      </c>
      <c r="H120" s="38">
        <f t="shared" si="85"/>
        <v>163056997</v>
      </c>
      <c r="I120" s="38">
        <f t="shared" si="85"/>
        <v>167910710</v>
      </c>
      <c r="J120" s="38">
        <f t="shared" si="85"/>
        <v>85749514</v>
      </c>
      <c r="K120" s="65">
        <f>+J120/I120</f>
        <v>0.51068519691209691</v>
      </c>
      <c r="L120" s="38">
        <f t="shared" si="85"/>
        <v>406607296.26999998</v>
      </c>
      <c r="M120" s="38">
        <f t="shared" si="85"/>
        <v>409130908.26999998</v>
      </c>
      <c r="N120" s="38">
        <f t="shared" si="85"/>
        <v>197001522</v>
      </c>
      <c r="O120" s="67">
        <f>+N120/M120</f>
        <v>0.48151219577375887</v>
      </c>
      <c r="P120" s="38">
        <f t="shared" si="85"/>
        <v>1763826225.27</v>
      </c>
      <c r="Q120" s="38">
        <f t="shared" si="85"/>
        <v>1873394495.27</v>
      </c>
      <c r="R120" s="38">
        <f t="shared" si="85"/>
        <v>579910551</v>
      </c>
      <c r="S120" s="65">
        <f>+R120/Q120</f>
        <v>0.30955068591488594</v>
      </c>
    </row>
    <row r="122" spans="1:19" x14ac:dyDescent="0.25">
      <c r="L122" s="3" t="s">
        <v>576</v>
      </c>
      <c r="M122" s="3" t="s">
        <v>577</v>
      </c>
      <c r="N122" s="3"/>
      <c r="O122" s="77"/>
      <c r="P122" s="3" t="s">
        <v>466</v>
      </c>
      <c r="R122" s="3"/>
      <c r="S122" s="23"/>
    </row>
    <row r="123" spans="1:19" x14ac:dyDescent="0.25">
      <c r="E123" s="19" t="s">
        <v>578</v>
      </c>
      <c r="F123" s="19"/>
      <c r="H123" t="s">
        <v>573</v>
      </c>
      <c r="L123" s="39">
        <f>+H120</f>
        <v>163056997</v>
      </c>
      <c r="M123" s="39">
        <f>+L120</f>
        <v>406607296.26999998</v>
      </c>
      <c r="N123" s="39"/>
      <c r="O123" s="75"/>
      <c r="P123" s="39">
        <f>+L123+M123</f>
        <v>569664293.26999998</v>
      </c>
      <c r="R123" s="39"/>
      <c r="S123" s="57"/>
    </row>
    <row r="124" spans="1:19" x14ac:dyDescent="0.25">
      <c r="E124" s="19"/>
      <c r="F124" s="19"/>
      <c r="H124" t="s">
        <v>574</v>
      </c>
      <c r="L124" s="58">
        <f>-'1. melléklet'!H93</f>
        <v>-1333833</v>
      </c>
      <c r="M124" s="58">
        <f>-'1. melléklet'!L93</f>
        <v>-3634356</v>
      </c>
      <c r="N124" s="58"/>
      <c r="O124" s="78"/>
      <c r="P124" s="58">
        <f>+L124+M124</f>
        <v>-4968189</v>
      </c>
      <c r="R124" s="58"/>
      <c r="S124" s="80"/>
    </row>
    <row r="125" spans="1:19" x14ac:dyDescent="0.25">
      <c r="E125" s="19"/>
      <c r="F125" s="19"/>
      <c r="H125" s="19" t="s">
        <v>575</v>
      </c>
      <c r="I125" s="19"/>
      <c r="J125" s="19"/>
      <c r="L125" s="57">
        <f>SUM(L123:L124)</f>
        <v>161723164</v>
      </c>
      <c r="M125" s="57">
        <f>SUM(M123:M124)</f>
        <v>402972940.26999998</v>
      </c>
      <c r="N125" s="57"/>
      <c r="O125" s="75"/>
      <c r="P125" s="57">
        <f>SUM(P123:P124)</f>
        <v>564696104.26999998</v>
      </c>
      <c r="R125" s="57"/>
      <c r="S125" s="57"/>
    </row>
    <row r="126" spans="1:19" x14ac:dyDescent="0.25">
      <c r="E126" s="19"/>
      <c r="F126" s="19"/>
    </row>
    <row r="127" spans="1:19" x14ac:dyDescent="0.25">
      <c r="E127" s="19"/>
      <c r="F127" s="19"/>
      <c r="L127" s="3" t="s">
        <v>576</v>
      </c>
      <c r="M127" s="3" t="s">
        <v>577</v>
      </c>
      <c r="N127" s="3"/>
      <c r="O127" s="77"/>
      <c r="P127" s="3" t="s">
        <v>466</v>
      </c>
      <c r="R127" s="3"/>
      <c r="S127" s="23"/>
    </row>
    <row r="128" spans="1:19" x14ac:dyDescent="0.25">
      <c r="E128" s="19" t="s">
        <v>579</v>
      </c>
      <c r="F128" s="19"/>
      <c r="H128" t="s">
        <v>573</v>
      </c>
      <c r="L128" s="39">
        <f>+I120</f>
        <v>167910710</v>
      </c>
      <c r="M128" s="39">
        <f>+M120</f>
        <v>409130908.26999998</v>
      </c>
      <c r="N128" s="39"/>
      <c r="O128" s="75"/>
      <c r="P128" s="39">
        <f>+L128+M128</f>
        <v>577041618.26999998</v>
      </c>
      <c r="R128" s="39"/>
      <c r="S128" s="57"/>
    </row>
    <row r="129" spans="8:19" x14ac:dyDescent="0.25">
      <c r="H129" t="s">
        <v>574</v>
      </c>
      <c r="L129" s="58">
        <f>-'1. melléklet'!I93</f>
        <v>-6187546</v>
      </c>
      <c r="M129" s="58">
        <f>-'1. melléklet'!M93</f>
        <v>-3634368</v>
      </c>
      <c r="N129" s="58"/>
      <c r="O129" s="78"/>
      <c r="P129" s="58">
        <f>+L129+M129</f>
        <v>-9821914</v>
      </c>
      <c r="R129" s="58"/>
      <c r="S129" s="80"/>
    </row>
    <row r="130" spans="8:19" x14ac:dyDescent="0.25">
      <c r="H130" s="19" t="s">
        <v>575</v>
      </c>
      <c r="I130" s="19"/>
      <c r="J130" s="19"/>
      <c r="L130" s="57">
        <f>SUM(L128:L129)</f>
        <v>161723164</v>
      </c>
      <c r="M130" s="57">
        <f>SUM(M128:M129)</f>
        <v>405496540.26999998</v>
      </c>
      <c r="N130" s="57"/>
      <c r="O130" s="75"/>
      <c r="P130" s="57">
        <f>SUM(P128:P129)</f>
        <v>567219704.26999998</v>
      </c>
      <c r="R130" s="57"/>
      <c r="S130" s="57"/>
    </row>
  </sheetData>
  <mergeCells count="35">
    <mergeCell ref="F8:G9"/>
    <mergeCell ref="D7:G7"/>
    <mergeCell ref="H7:K7"/>
    <mergeCell ref="J8:K9"/>
    <mergeCell ref="A97:A100"/>
    <mergeCell ref="B98:B100"/>
    <mergeCell ref="C98:C100"/>
    <mergeCell ref="D100:E100"/>
    <mergeCell ref="H100:I100"/>
    <mergeCell ref="D98:G98"/>
    <mergeCell ref="F99:G100"/>
    <mergeCell ref="P98:S98"/>
    <mergeCell ref="R99:S100"/>
    <mergeCell ref="L98:O98"/>
    <mergeCell ref="N99:O100"/>
    <mergeCell ref="H98:K98"/>
    <mergeCell ref="P100:Q100"/>
    <mergeCell ref="J99:K100"/>
    <mergeCell ref="L100:M100"/>
    <mergeCell ref="A5:S5"/>
    <mergeCell ref="A96:S96"/>
    <mergeCell ref="A1:S1"/>
    <mergeCell ref="A2:S2"/>
    <mergeCell ref="A3:S3"/>
    <mergeCell ref="R8:S9"/>
    <mergeCell ref="P7:S7"/>
    <mergeCell ref="P9:Q9"/>
    <mergeCell ref="A6:A9"/>
    <mergeCell ref="B7:B9"/>
    <mergeCell ref="C7:C9"/>
    <mergeCell ref="L7:O7"/>
    <mergeCell ref="N8:O9"/>
    <mergeCell ref="D9:E9"/>
    <mergeCell ref="H9:I9"/>
    <mergeCell ref="L9:M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2" fitToHeight="10" orientation="landscape" r:id="rId1"/>
  <ignoredErrors>
    <ignoredError sqref="G23 G27:G28 G33 G36 G46:G49 G59 G74 G80 G93:G94 G85 K23 K27:K29 K33 K36 K46 K49 K51:K53 K55:K56 K80 K94 K120 O23 O120 P85:R85 O80 P80:R80 Q59:R59 Q49:R49 Q46:R46 Q36:R36 Q33:R33 P23:R23 P63:R63 P74:R74 R104 P104:Q104 G56" formula="1"/>
    <ignoredError sqref="I33:J33 J93 M33:N33" formulaRange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CA29C-5282-49BA-B450-A6DD65DEB5F4}">
  <sheetPr>
    <pageSetUpPr fitToPage="1"/>
  </sheetPr>
  <dimension ref="A1:H70"/>
  <sheetViews>
    <sheetView workbookViewId="0">
      <selection sqref="A1:H1"/>
    </sheetView>
  </sheetViews>
  <sheetFormatPr defaultRowHeight="15" x14ac:dyDescent="0.25"/>
  <cols>
    <col min="1" max="1" width="8" customWidth="1"/>
    <col min="2" max="2" width="6.85546875" customWidth="1"/>
    <col min="3" max="3" width="63" customWidth="1"/>
    <col min="4" max="7" width="22.7109375" customWidth="1"/>
    <col min="8" max="8" width="19.85546875" style="19" customWidth="1"/>
    <col min="9" max="9" width="18.5703125" customWidth="1"/>
  </cols>
  <sheetData>
    <row r="1" spans="1:8" x14ac:dyDescent="0.25">
      <c r="A1" s="92" t="s">
        <v>590</v>
      </c>
      <c r="B1" s="93"/>
      <c r="C1" s="93"/>
      <c r="D1" s="93"/>
      <c r="E1" s="93"/>
      <c r="F1" s="93"/>
      <c r="G1" s="93"/>
      <c r="H1" s="93"/>
    </row>
    <row r="2" spans="1:8" x14ac:dyDescent="0.25">
      <c r="A2" s="128" t="s">
        <v>508</v>
      </c>
      <c r="B2" s="128"/>
      <c r="C2" s="128"/>
      <c r="D2" s="128"/>
      <c r="E2" s="128"/>
      <c r="F2" s="128"/>
      <c r="G2" s="128"/>
      <c r="H2" s="128"/>
    </row>
    <row r="3" spans="1:8" ht="14.25" customHeight="1" x14ac:dyDescent="0.25"/>
    <row r="4" spans="1:8" x14ac:dyDescent="0.25">
      <c r="A4" s="5"/>
      <c r="B4" s="131" t="s">
        <v>1</v>
      </c>
      <c r="C4" s="97"/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ht="30.75" customHeight="1" x14ac:dyDescent="0.25">
      <c r="A5" s="115" t="s">
        <v>0</v>
      </c>
      <c r="B5" s="106" t="s">
        <v>506</v>
      </c>
      <c r="C5" s="107"/>
      <c r="D5" s="94" t="s">
        <v>538</v>
      </c>
      <c r="E5" s="96"/>
      <c r="F5" s="96"/>
      <c r="G5" s="96"/>
      <c r="H5" s="96"/>
    </row>
    <row r="6" spans="1:8" ht="28.5" x14ac:dyDescent="0.25">
      <c r="A6" s="115"/>
      <c r="B6" s="110"/>
      <c r="C6" s="111"/>
      <c r="D6" s="26" t="s">
        <v>571</v>
      </c>
      <c r="E6" s="26" t="s">
        <v>510</v>
      </c>
      <c r="F6" s="26" t="s">
        <v>511</v>
      </c>
      <c r="G6" s="26" t="s">
        <v>592</v>
      </c>
      <c r="H6" s="26" t="s">
        <v>593</v>
      </c>
    </row>
    <row r="7" spans="1:8" ht="21.75" customHeight="1" x14ac:dyDescent="0.25">
      <c r="A7" s="32" t="s">
        <v>17</v>
      </c>
      <c r="B7" s="132" t="s">
        <v>512</v>
      </c>
      <c r="C7" s="133"/>
      <c r="D7" s="94"/>
      <c r="E7" s="96"/>
      <c r="F7" s="96"/>
      <c r="G7" s="96"/>
      <c r="H7" s="96"/>
    </row>
    <row r="8" spans="1:8" x14ac:dyDescent="0.25">
      <c r="A8" s="32" t="s">
        <v>18</v>
      </c>
      <c r="B8" s="56" t="s">
        <v>193</v>
      </c>
      <c r="C8" s="34" t="s">
        <v>45</v>
      </c>
      <c r="D8" s="36">
        <v>556967969</v>
      </c>
      <c r="E8" s="36">
        <f>+'1. melléklet'!P17</f>
        <v>539453225</v>
      </c>
      <c r="F8" s="36">
        <f>+'1. melléklet'!Q17</f>
        <v>554690258</v>
      </c>
      <c r="G8" s="36">
        <f>+'1. melléklet'!R17</f>
        <v>294179515</v>
      </c>
      <c r="H8" s="71">
        <f>+G8/F8</f>
        <v>0.53034916470445748</v>
      </c>
    </row>
    <row r="9" spans="1:8" x14ac:dyDescent="0.25">
      <c r="A9" s="32" t="s">
        <v>19</v>
      </c>
      <c r="B9" s="56" t="s">
        <v>504</v>
      </c>
      <c r="C9" s="34" t="s">
        <v>467</v>
      </c>
      <c r="D9" s="36">
        <v>26399949</v>
      </c>
      <c r="E9" s="36">
        <f>+'1. melléklet'!P23</f>
        <v>48549527</v>
      </c>
      <c r="F9" s="36">
        <f>+'1. melléklet'!Q23</f>
        <v>72447373</v>
      </c>
      <c r="G9" s="36">
        <f>+'1. melléklet'!R23</f>
        <v>61101694</v>
      </c>
      <c r="H9" s="71">
        <f t="shared" ref="H9:H12" si="0">+G9/F9</f>
        <v>0.84339419732997079</v>
      </c>
    </row>
    <row r="10" spans="1:8" x14ac:dyDescent="0.25">
      <c r="A10" s="32" t="s">
        <v>20</v>
      </c>
      <c r="B10" s="56" t="s">
        <v>165</v>
      </c>
      <c r="C10" s="34" t="s">
        <v>47</v>
      </c>
      <c r="D10" s="36">
        <v>205178345</v>
      </c>
      <c r="E10" s="36">
        <f>+'1. melléklet'!P33</f>
        <v>188500000</v>
      </c>
      <c r="F10" s="36">
        <f>+'1. melléklet'!Q33</f>
        <v>188500000</v>
      </c>
      <c r="G10" s="36">
        <f>+'1. melléklet'!R33</f>
        <v>94183663</v>
      </c>
      <c r="H10" s="71">
        <f t="shared" si="0"/>
        <v>0.49964807957559682</v>
      </c>
    </row>
    <row r="11" spans="1:8" x14ac:dyDescent="0.25">
      <c r="A11" s="32" t="s">
        <v>21</v>
      </c>
      <c r="B11" s="56" t="s">
        <v>166</v>
      </c>
      <c r="C11" s="34" t="s">
        <v>44</v>
      </c>
      <c r="D11" s="36">
        <f>38455749+140229+3204463</f>
        <v>41800441</v>
      </c>
      <c r="E11" s="36">
        <f>+'1. melléklet'!P47</f>
        <v>38897715</v>
      </c>
      <c r="F11" s="36">
        <f>+'1. melléklet'!Q47</f>
        <v>44153596</v>
      </c>
      <c r="G11" s="36">
        <f>+'1. melléklet'!R47</f>
        <v>28271441</v>
      </c>
      <c r="H11" s="71">
        <f t="shared" si="0"/>
        <v>0.64029758753964228</v>
      </c>
    </row>
    <row r="12" spans="1:8" x14ac:dyDescent="0.25">
      <c r="A12" s="32" t="s">
        <v>22</v>
      </c>
      <c r="B12" s="56" t="s">
        <v>185</v>
      </c>
      <c r="C12" s="34" t="s">
        <v>46</v>
      </c>
      <c r="D12" s="36">
        <v>262335</v>
      </c>
      <c r="E12" s="36">
        <f>+'1. melléklet'!P59</f>
        <v>500000</v>
      </c>
      <c r="F12" s="36">
        <f>+'1. melléklet'!Q59</f>
        <v>721692</v>
      </c>
      <c r="G12" s="36">
        <f>+'1. melléklet'!R59</f>
        <v>92425</v>
      </c>
      <c r="H12" s="71">
        <f t="shared" si="0"/>
        <v>0.12806709787554801</v>
      </c>
    </row>
    <row r="13" spans="1:8" x14ac:dyDescent="0.25">
      <c r="A13" s="32" t="s">
        <v>23</v>
      </c>
      <c r="B13" s="34"/>
      <c r="C13" s="35" t="s">
        <v>515</v>
      </c>
      <c r="D13" s="40">
        <f>SUM(D8:D12)</f>
        <v>830609039</v>
      </c>
      <c r="E13" s="40">
        <f t="shared" ref="E13:G13" si="1">SUM(E8:E12)</f>
        <v>815900467</v>
      </c>
      <c r="F13" s="40">
        <f t="shared" si="1"/>
        <v>860512919</v>
      </c>
      <c r="G13" s="40">
        <f t="shared" si="1"/>
        <v>477828738</v>
      </c>
      <c r="H13" s="64">
        <f>+G13/F13</f>
        <v>0.55528363078532705</v>
      </c>
    </row>
    <row r="14" spans="1:8" ht="19.5" customHeight="1" x14ac:dyDescent="0.25">
      <c r="A14" s="32" t="s">
        <v>24</v>
      </c>
      <c r="B14" s="132" t="s">
        <v>513</v>
      </c>
      <c r="C14" s="133"/>
      <c r="D14" s="140"/>
      <c r="E14" s="101"/>
      <c r="F14" s="101"/>
      <c r="G14" s="101"/>
      <c r="H14" s="101"/>
    </row>
    <row r="15" spans="1:8" x14ac:dyDescent="0.25">
      <c r="A15" s="32" t="s">
        <v>25</v>
      </c>
      <c r="B15" s="56" t="s">
        <v>164</v>
      </c>
      <c r="C15" s="34" t="s">
        <v>468</v>
      </c>
      <c r="D15" s="36">
        <v>94906692</v>
      </c>
      <c r="E15" s="36">
        <f>+'1. melléklet'!P29</f>
        <v>520045733</v>
      </c>
      <c r="F15" s="36">
        <f>+'1. melléklet'!Q29</f>
        <v>513995733</v>
      </c>
      <c r="G15" s="36">
        <f>+'1. melléklet'!R29</f>
        <v>22998834</v>
      </c>
      <c r="H15" s="71">
        <f t="shared" ref="H15:H17" si="2">+G15/F15</f>
        <v>4.4745184684247173E-2</v>
      </c>
    </row>
    <row r="16" spans="1:8" x14ac:dyDescent="0.25">
      <c r="A16" s="32" t="s">
        <v>26</v>
      </c>
      <c r="B16" s="56" t="s">
        <v>167</v>
      </c>
      <c r="C16" s="34" t="s">
        <v>469</v>
      </c>
      <c r="D16" s="36">
        <v>95683000</v>
      </c>
      <c r="E16" s="36">
        <f>+'1. melléklet'!P53</f>
        <v>77311200</v>
      </c>
      <c r="F16" s="36">
        <f>+'1. melléklet'!Q53</f>
        <v>77311200</v>
      </c>
      <c r="G16" s="36">
        <f>+'1. melléklet'!R53</f>
        <v>14681040</v>
      </c>
      <c r="H16" s="71">
        <f t="shared" si="2"/>
        <v>0.18989538385124019</v>
      </c>
    </row>
    <row r="17" spans="1:8" x14ac:dyDescent="0.25">
      <c r="A17" s="32" t="s">
        <v>27</v>
      </c>
      <c r="B17" s="56" t="s">
        <v>191</v>
      </c>
      <c r="C17" s="34" t="s">
        <v>472</v>
      </c>
      <c r="D17" s="36">
        <v>0</v>
      </c>
      <c r="E17" s="36">
        <f>+'1. melléklet'!P65</f>
        <v>10740000</v>
      </c>
      <c r="F17" s="36">
        <f>+'1. melléklet'!Q65</f>
        <v>12922438</v>
      </c>
      <c r="G17" s="36">
        <f>+'1. melléklet'!R65</f>
        <v>12612272</v>
      </c>
      <c r="H17" s="71">
        <f t="shared" si="2"/>
        <v>0.97599787284721351</v>
      </c>
    </row>
    <row r="18" spans="1:8" x14ac:dyDescent="0.25">
      <c r="A18" s="32" t="s">
        <v>28</v>
      </c>
      <c r="B18" s="34"/>
      <c r="C18" s="35" t="s">
        <v>514</v>
      </c>
      <c r="D18" s="40">
        <f>SUM(D15:D17)</f>
        <v>190589692</v>
      </c>
      <c r="E18" s="40">
        <f t="shared" ref="E18:G18" si="3">SUM(E15:E17)</f>
        <v>608096933</v>
      </c>
      <c r="F18" s="40">
        <f t="shared" si="3"/>
        <v>604229371</v>
      </c>
      <c r="G18" s="40">
        <f t="shared" si="3"/>
        <v>50292146</v>
      </c>
      <c r="H18" s="64">
        <f>+G18/F18</f>
        <v>8.3233534173895687E-2</v>
      </c>
    </row>
    <row r="19" spans="1:8" ht="15" customHeight="1" x14ac:dyDescent="0.25">
      <c r="A19" s="32" t="s">
        <v>29</v>
      </c>
      <c r="B19" s="132" t="s">
        <v>516</v>
      </c>
      <c r="C19" s="133"/>
      <c r="D19" s="37">
        <f>+D13+D18</f>
        <v>1021198731</v>
      </c>
      <c r="E19" s="37">
        <f t="shared" ref="E19:G19" si="4">+E13+E18</f>
        <v>1423997400</v>
      </c>
      <c r="F19" s="37">
        <f t="shared" si="4"/>
        <v>1464742290</v>
      </c>
      <c r="G19" s="37">
        <f t="shared" si="4"/>
        <v>528120884</v>
      </c>
      <c r="H19" s="64">
        <f>+G19/F19</f>
        <v>0.36055549676250559</v>
      </c>
    </row>
    <row r="20" spans="1:8" ht="18" customHeight="1" x14ac:dyDescent="0.25">
      <c r="A20" s="32" t="s">
        <v>30</v>
      </c>
      <c r="B20" s="141" t="s">
        <v>53</v>
      </c>
      <c r="C20" s="142"/>
      <c r="D20" s="140"/>
      <c r="E20" s="101"/>
      <c r="F20" s="101"/>
      <c r="G20" s="101"/>
      <c r="H20" s="101"/>
    </row>
    <row r="21" spans="1:8" x14ac:dyDescent="0.25">
      <c r="A21" s="32" t="s">
        <v>31</v>
      </c>
      <c r="B21" s="34"/>
      <c r="C21" s="34" t="s">
        <v>517</v>
      </c>
      <c r="D21" s="36">
        <v>0</v>
      </c>
      <c r="E21" s="36">
        <f>+'1. melléklet'!P76</f>
        <v>0</v>
      </c>
      <c r="F21" s="36">
        <f>+'1. melléklet'!Q76</f>
        <v>0</v>
      </c>
      <c r="G21" s="36">
        <f>+'1. melléklet'!R76</f>
        <v>0</v>
      </c>
      <c r="H21" s="71"/>
    </row>
    <row r="22" spans="1:8" x14ac:dyDescent="0.25">
      <c r="A22" s="32" t="s">
        <v>32</v>
      </c>
      <c r="B22" s="34"/>
      <c r="C22" s="34" t="s">
        <v>518</v>
      </c>
      <c r="D22" s="36">
        <v>65097404</v>
      </c>
      <c r="E22" s="36">
        <f>+'1. melléklet'!P81</f>
        <v>67067368</v>
      </c>
      <c r="F22" s="36">
        <f>+'1. melléklet'!Q81</f>
        <v>135923858</v>
      </c>
      <c r="G22" s="36">
        <f>+'1. melléklet'!R81</f>
        <v>67067368</v>
      </c>
      <c r="H22" s="71">
        <f t="shared" ref="H22:H24" si="5">+G22/F22</f>
        <v>0.49341866090940417</v>
      </c>
    </row>
    <row r="23" spans="1:8" x14ac:dyDescent="0.25">
      <c r="A23" s="32" t="s">
        <v>33</v>
      </c>
      <c r="B23" s="34"/>
      <c r="C23" s="34" t="s">
        <v>519</v>
      </c>
      <c r="D23" s="36">
        <f>329773977+1129570+2120598</f>
        <v>333024145</v>
      </c>
      <c r="E23" s="36">
        <f>+'1. melléklet'!P84</f>
        <v>252696037</v>
      </c>
      <c r="F23" s="36">
        <f>+'1. melléklet'!Q84</f>
        <v>252662924</v>
      </c>
      <c r="G23" s="36">
        <f>+'1. melléklet'!R84</f>
        <v>252662924</v>
      </c>
      <c r="H23" s="71">
        <f t="shared" si="5"/>
        <v>1</v>
      </c>
    </row>
    <row r="24" spans="1:8" x14ac:dyDescent="0.25">
      <c r="A24" s="32" t="s">
        <v>34</v>
      </c>
      <c r="B24" s="34"/>
      <c r="C24" s="34" t="s">
        <v>520</v>
      </c>
      <c r="D24" s="36">
        <v>23104455</v>
      </c>
      <c r="E24" s="36">
        <f>+'1. melléklet'!P85+'1. melléklet'!P86</f>
        <v>20065423</v>
      </c>
      <c r="F24" s="36">
        <f>+'1. melléklet'!Q85+'1. melléklet'!Q86</f>
        <v>20065423</v>
      </c>
      <c r="G24" s="36">
        <f>+'1. melléklet'!R85+'1. melléklet'!R86</f>
        <v>0</v>
      </c>
      <c r="H24" s="71">
        <f t="shared" si="5"/>
        <v>0</v>
      </c>
    </row>
    <row r="25" spans="1:8" x14ac:dyDescent="0.25">
      <c r="A25" s="32" t="s">
        <v>35</v>
      </c>
      <c r="B25" s="34"/>
      <c r="C25" s="34" t="s">
        <v>521</v>
      </c>
      <c r="D25" s="36"/>
      <c r="E25" s="36">
        <f>+'1. melléklet'!P87</f>
        <v>0</v>
      </c>
      <c r="F25" s="36">
        <f>+'1. melléklet'!Q87</f>
        <v>0</v>
      </c>
      <c r="G25" s="36">
        <f>+'1. melléklet'!R87</f>
        <v>0</v>
      </c>
      <c r="H25" s="71"/>
    </row>
    <row r="26" spans="1:8" x14ac:dyDescent="0.25">
      <c r="A26" s="32" t="s">
        <v>36</v>
      </c>
      <c r="B26" s="34"/>
      <c r="C26" s="34" t="s">
        <v>522</v>
      </c>
      <c r="D26" s="36">
        <v>0</v>
      </c>
      <c r="E26" s="36">
        <f>+'1. melléklet'!P88</f>
        <v>0</v>
      </c>
      <c r="F26" s="36">
        <f>+'1. melléklet'!Q88</f>
        <v>0</v>
      </c>
      <c r="G26" s="36">
        <f>+'1. melléklet'!R88</f>
        <v>0</v>
      </c>
      <c r="H26" s="71"/>
    </row>
    <row r="27" spans="1:8" ht="18" customHeight="1" x14ac:dyDescent="0.25">
      <c r="A27" s="32" t="s">
        <v>37</v>
      </c>
      <c r="B27" s="143" t="s">
        <v>523</v>
      </c>
      <c r="C27" s="144"/>
      <c r="D27" s="37">
        <f>SUM(D21:D26)</f>
        <v>421226004</v>
      </c>
      <c r="E27" s="37">
        <f t="shared" ref="E27:G27" si="6">SUM(E21:E26)</f>
        <v>339828828</v>
      </c>
      <c r="F27" s="37">
        <f t="shared" si="6"/>
        <v>408652205</v>
      </c>
      <c r="G27" s="37">
        <f t="shared" si="6"/>
        <v>319730292</v>
      </c>
      <c r="H27" s="64">
        <f>+G27/F27</f>
        <v>0.78240197431456415</v>
      </c>
    </row>
    <row r="28" spans="1:8" ht="18" customHeight="1" x14ac:dyDescent="0.25">
      <c r="A28" s="32" t="s">
        <v>38</v>
      </c>
      <c r="B28" s="145" t="s">
        <v>524</v>
      </c>
      <c r="C28" s="146"/>
      <c r="D28" s="38">
        <f>+D19+D27</f>
        <v>1442424735</v>
      </c>
      <c r="E28" s="38">
        <f t="shared" ref="E28:G28" si="7">+E19+E27</f>
        <v>1763826228</v>
      </c>
      <c r="F28" s="38">
        <f t="shared" si="7"/>
        <v>1873394495</v>
      </c>
      <c r="G28" s="38">
        <f t="shared" si="7"/>
        <v>847851176</v>
      </c>
      <c r="H28" s="65">
        <f>+G28/F28</f>
        <v>0.4525748198059053</v>
      </c>
    </row>
    <row r="29" spans="1:8" x14ac:dyDescent="0.25">
      <c r="A29" s="131"/>
      <c r="B29" s="101"/>
      <c r="C29" s="101"/>
      <c r="D29" s="101"/>
      <c r="E29" s="101"/>
      <c r="F29" s="101"/>
      <c r="G29" s="101"/>
      <c r="H29" s="101"/>
    </row>
    <row r="30" spans="1:8" ht="30.75" customHeight="1" x14ac:dyDescent="0.25">
      <c r="A30" s="32" t="s">
        <v>39</v>
      </c>
      <c r="B30" s="115" t="s">
        <v>507</v>
      </c>
      <c r="C30" s="124"/>
      <c r="D30" s="94" t="s">
        <v>538</v>
      </c>
      <c r="E30" s="147"/>
      <c r="F30" s="147"/>
      <c r="G30" s="147"/>
      <c r="H30" s="148"/>
    </row>
    <row r="31" spans="1:8" ht="28.5" x14ac:dyDescent="0.25">
      <c r="A31" s="32" t="s">
        <v>40</v>
      </c>
      <c r="B31" s="124"/>
      <c r="C31" s="124"/>
      <c r="D31" s="26" t="s">
        <v>509</v>
      </c>
      <c r="E31" s="26" t="s">
        <v>510</v>
      </c>
      <c r="F31" s="26" t="s">
        <v>511</v>
      </c>
      <c r="G31" s="26" t="s">
        <v>592</v>
      </c>
      <c r="H31" s="26" t="s">
        <v>593</v>
      </c>
    </row>
    <row r="32" spans="1:8" x14ac:dyDescent="0.25">
      <c r="A32" s="32" t="s">
        <v>41</v>
      </c>
      <c r="B32" s="134" t="s">
        <v>525</v>
      </c>
      <c r="C32" s="139"/>
      <c r="D32" s="140"/>
      <c r="E32" s="101"/>
      <c r="F32" s="101"/>
      <c r="G32" s="101"/>
      <c r="H32" s="101"/>
    </row>
    <row r="33" spans="1:8" x14ac:dyDescent="0.25">
      <c r="A33" s="32" t="s">
        <v>42</v>
      </c>
      <c r="B33" s="5"/>
      <c r="C33" s="5" t="s">
        <v>49</v>
      </c>
      <c r="D33" s="36">
        <f>152654054+106280124+268670196</f>
        <v>527604374</v>
      </c>
      <c r="E33" s="36">
        <f>+'2. melléklet'!P28</f>
        <v>606647012</v>
      </c>
      <c r="F33" s="36">
        <f>+'2. melléklet'!Q28</f>
        <v>612486716</v>
      </c>
      <c r="G33" s="36">
        <f>+'2. melléklet'!R28</f>
        <v>289818154</v>
      </c>
      <c r="H33" s="71">
        <f t="shared" ref="H33:H37" si="8">+G33/F33</f>
        <v>0.4731827587914576</v>
      </c>
    </row>
    <row r="34" spans="1:8" x14ac:dyDescent="0.25">
      <c r="A34" s="32" t="s">
        <v>56</v>
      </c>
      <c r="B34" s="5"/>
      <c r="C34" s="5" t="s">
        <v>50</v>
      </c>
      <c r="D34" s="36">
        <f>19553000+13872387+31785015</f>
        <v>65210402</v>
      </c>
      <c r="E34" s="36">
        <f>+'2. melléklet'!P29</f>
        <v>78098284</v>
      </c>
      <c r="F34" s="36">
        <f>+'2. melléklet'!Q29</f>
        <v>78881002</v>
      </c>
      <c r="G34" s="36">
        <f>+'2. melléklet'!R29</f>
        <v>43238814</v>
      </c>
      <c r="H34" s="71">
        <f t="shared" si="8"/>
        <v>0.54815244360105875</v>
      </c>
    </row>
    <row r="35" spans="1:8" x14ac:dyDescent="0.25">
      <c r="A35" s="32" t="s">
        <v>57</v>
      </c>
      <c r="B35" s="5"/>
      <c r="C35" s="5" t="s">
        <v>526</v>
      </c>
      <c r="D35" s="36">
        <f>56158068+8744435+158659230</f>
        <v>223561733</v>
      </c>
      <c r="E35" s="36">
        <f>+'2. melléklet'!P56</f>
        <v>335427804</v>
      </c>
      <c r="F35" s="36">
        <f>+'2. melléklet'!Q56</f>
        <v>338763797</v>
      </c>
      <c r="G35" s="36">
        <f>+'2. melléklet'!R56</f>
        <v>109985832</v>
      </c>
      <c r="H35" s="71">
        <f t="shared" si="8"/>
        <v>0.32466819941801517</v>
      </c>
    </row>
    <row r="36" spans="1:8" x14ac:dyDescent="0.25">
      <c r="A36" s="32" t="s">
        <v>58</v>
      </c>
      <c r="B36" s="5"/>
      <c r="C36" s="5" t="s">
        <v>51</v>
      </c>
      <c r="D36" s="36">
        <v>4108999</v>
      </c>
      <c r="E36" s="36">
        <f>+'2. melléklet'!P59</f>
        <v>4200000</v>
      </c>
      <c r="F36" s="36">
        <f>+'2. melléklet'!Q59</f>
        <v>4200000</v>
      </c>
      <c r="G36" s="36">
        <f>+'2. melléklet'!R59</f>
        <v>626380</v>
      </c>
      <c r="H36" s="71">
        <f t="shared" si="8"/>
        <v>0.14913809523809524</v>
      </c>
    </row>
    <row r="37" spans="1:8" x14ac:dyDescent="0.25">
      <c r="A37" s="32" t="s">
        <v>59</v>
      </c>
      <c r="B37" s="5"/>
      <c r="C37" s="5" t="s">
        <v>505</v>
      </c>
      <c r="D37" s="36">
        <v>110892493</v>
      </c>
      <c r="E37" s="36">
        <f>+'2. melléklet'!P74</f>
        <v>26325106</v>
      </c>
      <c r="F37" s="36">
        <f>+'2. melléklet'!Q74</f>
        <v>51787906</v>
      </c>
      <c r="G37" s="36">
        <f>+'2. melléklet'!R74</f>
        <v>14192475</v>
      </c>
      <c r="H37" s="71">
        <f t="shared" si="8"/>
        <v>0.27404998765541899</v>
      </c>
    </row>
    <row r="38" spans="1:8" x14ac:dyDescent="0.25">
      <c r="A38" s="32" t="s">
        <v>60</v>
      </c>
      <c r="B38" s="5"/>
      <c r="C38" s="29" t="s">
        <v>527</v>
      </c>
      <c r="D38" s="40">
        <f>SUM(D33:D37)</f>
        <v>931378001</v>
      </c>
      <c r="E38" s="40">
        <f>SUM(E33:E37)</f>
        <v>1050698206</v>
      </c>
      <c r="F38" s="40">
        <f t="shared" ref="F38:G38" si="9">SUM(F33:F37)</f>
        <v>1086119421</v>
      </c>
      <c r="G38" s="40">
        <f t="shared" si="9"/>
        <v>457861655</v>
      </c>
      <c r="H38" s="64">
        <f>+G38/F38</f>
        <v>0.42155737771307195</v>
      </c>
    </row>
    <row r="39" spans="1:8" x14ac:dyDescent="0.25">
      <c r="A39" s="32" t="s">
        <v>61</v>
      </c>
      <c r="B39" s="134" t="s">
        <v>528</v>
      </c>
      <c r="C39" s="134"/>
      <c r="D39" s="140"/>
      <c r="E39" s="101"/>
      <c r="F39" s="101"/>
      <c r="G39" s="101"/>
      <c r="H39" s="101"/>
    </row>
    <row r="40" spans="1:8" x14ac:dyDescent="0.25">
      <c r="A40" s="32" t="s">
        <v>62</v>
      </c>
      <c r="B40" s="5"/>
      <c r="C40" s="5" t="s">
        <v>470</v>
      </c>
      <c r="D40" s="36">
        <f>954560+5418727+68534508</f>
        <v>74907795</v>
      </c>
      <c r="E40" s="36">
        <f>+'2. melléklet'!P80</f>
        <v>511062596.26999998</v>
      </c>
      <c r="F40" s="36">
        <f>+'2. melléklet'!Q80</f>
        <v>511654515.26999998</v>
      </c>
      <c r="G40" s="36">
        <f>+'2. melléklet'!R80</f>
        <v>29428335</v>
      </c>
      <c r="H40" s="71">
        <f t="shared" ref="H40:H42" si="10">+G40/F40</f>
        <v>5.7516027166242586E-2</v>
      </c>
    </row>
    <row r="41" spans="1:8" x14ac:dyDescent="0.25">
      <c r="A41" s="32" t="s">
        <v>233</v>
      </c>
      <c r="B41" s="5"/>
      <c r="C41" s="5" t="s">
        <v>471</v>
      </c>
      <c r="D41" s="36">
        <f>909274+31349860</f>
        <v>32259134</v>
      </c>
      <c r="E41" s="36">
        <f>+'2. melléklet'!P85</f>
        <v>182000000</v>
      </c>
      <c r="F41" s="36">
        <f>+'2. melléklet'!Q85</f>
        <v>186391442</v>
      </c>
      <c r="G41" s="36">
        <f>+'2. melléklet'!R85</f>
        <v>3391444</v>
      </c>
      <c r="H41" s="71">
        <f t="shared" si="10"/>
        <v>1.8195277441976118E-2</v>
      </c>
    </row>
    <row r="42" spans="1:8" x14ac:dyDescent="0.25">
      <c r="A42" s="32" t="s">
        <v>63</v>
      </c>
      <c r="B42" s="5"/>
      <c r="C42" s="5" t="s">
        <v>529</v>
      </c>
      <c r="D42" s="36">
        <v>0</v>
      </c>
      <c r="E42" s="36">
        <f>+'2. melléklet'!P93</f>
        <v>0</v>
      </c>
      <c r="F42" s="36">
        <f>+'2. melléklet'!Q93</f>
        <v>307204</v>
      </c>
      <c r="G42" s="36">
        <f>+'2. melléklet'!R93</f>
        <v>307204</v>
      </c>
      <c r="H42" s="71">
        <f t="shared" si="10"/>
        <v>1</v>
      </c>
    </row>
    <row r="43" spans="1:8" x14ac:dyDescent="0.25">
      <c r="A43" s="32" t="s">
        <v>64</v>
      </c>
      <c r="B43" s="5"/>
      <c r="C43" s="29" t="s">
        <v>530</v>
      </c>
      <c r="D43" s="40">
        <f>SUM(D40:D42)</f>
        <v>107166929</v>
      </c>
      <c r="E43" s="40">
        <f>SUM(E40:E42)</f>
        <v>693062596.26999998</v>
      </c>
      <c r="F43" s="40">
        <f t="shared" ref="F43:G43" si="11">SUM(F40:F42)</f>
        <v>698353161.26999998</v>
      </c>
      <c r="G43" s="40">
        <f t="shared" si="11"/>
        <v>33126983</v>
      </c>
      <c r="H43" s="64">
        <f>+G43/F43</f>
        <v>4.7435860302767814E-2</v>
      </c>
    </row>
    <row r="44" spans="1:8" x14ac:dyDescent="0.25">
      <c r="A44" s="32" t="s">
        <v>234</v>
      </c>
      <c r="B44" s="134" t="s">
        <v>531</v>
      </c>
      <c r="C44" s="134"/>
      <c r="D44" s="37">
        <f>+D38+D43</f>
        <v>1038544930</v>
      </c>
      <c r="E44" s="37">
        <f>+E38+E43</f>
        <v>1743760802.27</v>
      </c>
      <c r="F44" s="37">
        <f t="shared" ref="F44:G44" si="12">+F38+F43</f>
        <v>1784472582.27</v>
      </c>
      <c r="G44" s="37">
        <f t="shared" si="12"/>
        <v>490988638</v>
      </c>
      <c r="H44" s="64">
        <f>+G44/F44</f>
        <v>0.27514496040921005</v>
      </c>
    </row>
    <row r="45" spans="1:8" x14ac:dyDescent="0.25">
      <c r="A45" s="32" t="s">
        <v>65</v>
      </c>
      <c r="B45" s="134" t="s">
        <v>52</v>
      </c>
      <c r="C45" s="139"/>
      <c r="D45" s="140"/>
      <c r="E45" s="101"/>
      <c r="F45" s="101"/>
      <c r="G45" s="101"/>
      <c r="H45" s="101"/>
    </row>
    <row r="46" spans="1:8" x14ac:dyDescent="0.25">
      <c r="A46" s="32" t="s">
        <v>66</v>
      </c>
      <c r="B46" s="5"/>
      <c r="C46" s="5" t="s">
        <v>532</v>
      </c>
      <c r="D46" s="36">
        <v>132164772</v>
      </c>
      <c r="E46" s="36">
        <f>+'2. melléklet'!P111</f>
        <v>0</v>
      </c>
      <c r="F46" s="36">
        <f>+'2. melléklet'!Q111</f>
        <v>68856490</v>
      </c>
      <c r="G46" s="36">
        <f>+'2. melléklet'!R111</f>
        <v>68856490</v>
      </c>
      <c r="H46" s="71">
        <f t="shared" ref="H46:H47" si="13">+G46/F46</f>
        <v>1</v>
      </c>
    </row>
    <row r="47" spans="1:8" x14ac:dyDescent="0.25">
      <c r="A47" s="32" t="s">
        <v>67</v>
      </c>
      <c r="B47" s="5"/>
      <c r="C47" s="5" t="s">
        <v>443</v>
      </c>
      <c r="D47" s="36">
        <v>19052130</v>
      </c>
      <c r="E47" s="36">
        <f>+'2. melléklet'!P112+'2. melléklet'!P113</f>
        <v>20065423</v>
      </c>
      <c r="F47" s="36">
        <f>+'2. melléklet'!Q112+'2. melléklet'!Q113</f>
        <v>20065423</v>
      </c>
      <c r="G47" s="36">
        <f>+'2. melléklet'!R112+'2. melléklet'!R113</f>
        <v>20065423</v>
      </c>
      <c r="H47" s="71">
        <f t="shared" si="13"/>
        <v>1</v>
      </c>
    </row>
    <row r="48" spans="1:8" x14ac:dyDescent="0.25">
      <c r="A48" s="32" t="s">
        <v>68</v>
      </c>
      <c r="B48" s="48"/>
      <c r="C48" s="5" t="s">
        <v>533</v>
      </c>
      <c r="D48" s="36">
        <v>0</v>
      </c>
      <c r="E48" s="36">
        <f>+'2. melléklet'!P114</f>
        <v>0</v>
      </c>
      <c r="F48" s="36">
        <f>+'2. melléklet'!Q114</f>
        <v>0</v>
      </c>
      <c r="G48" s="36">
        <f>+'2. melléklet'!R114</f>
        <v>0</v>
      </c>
      <c r="H48" s="72"/>
    </row>
    <row r="49" spans="1:8" x14ac:dyDescent="0.25">
      <c r="A49" s="32" t="s">
        <v>69</v>
      </c>
      <c r="B49" s="5"/>
      <c r="C49" s="5" t="s">
        <v>534</v>
      </c>
      <c r="D49" s="36">
        <v>0</v>
      </c>
      <c r="E49" s="36">
        <f>+'2. melléklet'!P115</f>
        <v>0</v>
      </c>
      <c r="F49" s="36">
        <f>+'2. melléklet'!Q115</f>
        <v>0</v>
      </c>
      <c r="G49" s="36">
        <f>+'2. melléklet'!R115</f>
        <v>0</v>
      </c>
      <c r="H49" s="72"/>
    </row>
    <row r="50" spans="1:8" x14ac:dyDescent="0.25">
      <c r="A50" s="32" t="s">
        <v>70</v>
      </c>
      <c r="B50" s="29" t="s">
        <v>535</v>
      </c>
      <c r="C50" s="29"/>
      <c r="D50" s="40">
        <f>SUM(D46:D49)</f>
        <v>151216902</v>
      </c>
      <c r="E50" s="40">
        <f>SUM(E46:E49)</f>
        <v>20065423</v>
      </c>
      <c r="F50" s="40">
        <f t="shared" ref="F50:G50" si="14">SUM(F46:F49)</f>
        <v>88921913</v>
      </c>
      <c r="G50" s="40">
        <f t="shared" si="14"/>
        <v>88921913</v>
      </c>
      <c r="H50" s="64">
        <f>+G50/F50</f>
        <v>1</v>
      </c>
    </row>
    <row r="51" spans="1:8" x14ac:dyDescent="0.25">
      <c r="A51" s="32" t="s">
        <v>71</v>
      </c>
      <c r="B51" s="135" t="s">
        <v>536</v>
      </c>
      <c r="C51" s="136"/>
      <c r="D51" s="38">
        <f>+D44+D50</f>
        <v>1189761832</v>
      </c>
      <c r="E51" s="38">
        <f>+E44+E50</f>
        <v>1763826225.27</v>
      </c>
      <c r="F51" s="38">
        <f t="shared" ref="F51:G51" si="15">+F44+F50</f>
        <v>1873394495.27</v>
      </c>
      <c r="G51" s="38">
        <f t="shared" si="15"/>
        <v>579910551</v>
      </c>
      <c r="H51" s="65">
        <f>+G51/F51</f>
        <v>0.30955068591488594</v>
      </c>
    </row>
    <row r="52" spans="1:8" x14ac:dyDescent="0.25">
      <c r="A52" s="131"/>
      <c r="B52" s="101"/>
      <c r="C52" s="101"/>
      <c r="D52" s="101"/>
      <c r="E52" s="101"/>
      <c r="F52" s="101"/>
      <c r="G52" s="101"/>
      <c r="H52" s="101"/>
    </row>
    <row r="53" spans="1:8" x14ac:dyDescent="0.25">
      <c r="A53" s="32" t="s">
        <v>72</v>
      </c>
      <c r="B53" s="137" t="s">
        <v>537</v>
      </c>
      <c r="C53" s="138"/>
      <c r="D53" s="41">
        <f>+D28-D51</f>
        <v>252662903</v>
      </c>
      <c r="E53" s="41">
        <f>+E28-E51</f>
        <v>2.7300000190734863</v>
      </c>
      <c r="F53" s="41">
        <f>+F28-F51</f>
        <v>-0.26999998092651367</v>
      </c>
      <c r="G53" s="41">
        <f>+G28-G51</f>
        <v>267940625</v>
      </c>
      <c r="H53" s="65"/>
    </row>
    <row r="54" spans="1:8" x14ac:dyDescent="0.25">
      <c r="A54" s="33"/>
    </row>
    <row r="55" spans="1:8" x14ac:dyDescent="0.25">
      <c r="A55" s="33"/>
    </row>
    <row r="56" spans="1:8" ht="28.5" x14ac:dyDescent="0.25">
      <c r="A56" s="32" t="s">
        <v>73</v>
      </c>
      <c r="B56" s="134" t="s">
        <v>544</v>
      </c>
      <c r="C56" s="134"/>
      <c r="D56" s="26" t="s">
        <v>571</v>
      </c>
      <c r="E56" s="26" t="s">
        <v>510</v>
      </c>
      <c r="F56" s="26" t="s">
        <v>511</v>
      </c>
      <c r="G56" s="26" t="s">
        <v>592</v>
      </c>
      <c r="H56" s="26" t="s">
        <v>593</v>
      </c>
    </row>
    <row r="57" spans="1:8" x14ac:dyDescent="0.25">
      <c r="A57" s="32" t="s">
        <v>74</v>
      </c>
      <c r="B57" s="5"/>
      <c r="C57" s="5" t="s">
        <v>540</v>
      </c>
      <c r="D57" s="36">
        <f>+D13</f>
        <v>830609039</v>
      </c>
      <c r="E57" s="36">
        <f>+E13</f>
        <v>815900467</v>
      </c>
      <c r="F57" s="36">
        <f>+F13</f>
        <v>860512919</v>
      </c>
      <c r="G57" s="36">
        <f t="shared" ref="G57" si="16">+G13</f>
        <v>477828738</v>
      </c>
      <c r="H57" s="71">
        <f t="shared" ref="H57:H62" si="17">+G57/F57</f>
        <v>0.55528363078532705</v>
      </c>
    </row>
    <row r="58" spans="1:8" x14ac:dyDescent="0.25">
      <c r="A58" s="32" t="s">
        <v>75</v>
      </c>
      <c r="B58" s="5"/>
      <c r="C58" s="5" t="s">
        <v>541</v>
      </c>
      <c r="D58" s="36">
        <f>+D38</f>
        <v>931378001</v>
      </c>
      <c r="E58" s="36">
        <f>+E38</f>
        <v>1050698206</v>
      </c>
      <c r="F58" s="36">
        <f>+F38</f>
        <v>1086119421</v>
      </c>
      <c r="G58" s="36">
        <f t="shared" ref="G58" si="18">+G38</f>
        <v>457861655</v>
      </c>
      <c r="H58" s="71">
        <f t="shared" si="17"/>
        <v>0.42155737771307195</v>
      </c>
    </row>
    <row r="59" spans="1:8" x14ac:dyDescent="0.25">
      <c r="A59" s="32" t="s">
        <v>76</v>
      </c>
      <c r="B59" s="5"/>
      <c r="C59" s="29" t="s">
        <v>545</v>
      </c>
      <c r="D59" s="37">
        <f>+D57-D58</f>
        <v>-100768962</v>
      </c>
      <c r="E59" s="37">
        <f>+E57-E58</f>
        <v>-234797739</v>
      </c>
      <c r="F59" s="37">
        <f>+F57-F58</f>
        <v>-225606502</v>
      </c>
      <c r="G59" s="37">
        <f t="shared" ref="G59" si="19">+G57-G58</f>
        <v>19967083</v>
      </c>
      <c r="H59" s="64">
        <f t="shared" si="17"/>
        <v>-8.8504022814023336E-2</v>
      </c>
    </row>
    <row r="60" spans="1:8" x14ac:dyDescent="0.25">
      <c r="A60" s="32" t="s">
        <v>77</v>
      </c>
      <c r="B60" s="5"/>
      <c r="C60" s="5" t="s">
        <v>542</v>
      </c>
      <c r="D60" s="36">
        <f>+D18</f>
        <v>190589692</v>
      </c>
      <c r="E60" s="36">
        <f>+E18</f>
        <v>608096933</v>
      </c>
      <c r="F60" s="36">
        <f>+F18</f>
        <v>604229371</v>
      </c>
      <c r="G60" s="36">
        <f t="shared" ref="G60" si="20">+G18</f>
        <v>50292146</v>
      </c>
      <c r="H60" s="71">
        <f t="shared" si="17"/>
        <v>8.3233534173895687E-2</v>
      </c>
    </row>
    <row r="61" spans="1:8" x14ac:dyDescent="0.25">
      <c r="A61" s="32" t="s">
        <v>78</v>
      </c>
      <c r="B61" s="5"/>
      <c r="C61" s="5" t="s">
        <v>543</v>
      </c>
      <c r="D61" s="36">
        <f>+D43</f>
        <v>107166929</v>
      </c>
      <c r="E61" s="36">
        <f>+E43</f>
        <v>693062596.26999998</v>
      </c>
      <c r="F61" s="36">
        <f>+F43</f>
        <v>698353161.26999998</v>
      </c>
      <c r="G61" s="36">
        <f t="shared" ref="G61" si="21">+G43</f>
        <v>33126983</v>
      </c>
      <c r="H61" s="71">
        <f t="shared" si="17"/>
        <v>4.7435860302767814E-2</v>
      </c>
    </row>
    <row r="62" spans="1:8" x14ac:dyDescent="0.25">
      <c r="A62" s="32" t="s">
        <v>79</v>
      </c>
      <c r="B62" s="5"/>
      <c r="C62" s="29" t="s">
        <v>546</v>
      </c>
      <c r="D62" s="37">
        <f>+D60-D61</f>
        <v>83422763</v>
      </c>
      <c r="E62" s="37">
        <f>+E60-E61</f>
        <v>-84965663.269999981</v>
      </c>
      <c r="F62" s="37">
        <f>+F60-F61</f>
        <v>-94123790.269999981</v>
      </c>
      <c r="G62" s="37">
        <f t="shared" ref="G62" si="22">+G60-G61</f>
        <v>17165163</v>
      </c>
      <c r="H62" s="64">
        <f t="shared" si="17"/>
        <v>-0.18236795342347195</v>
      </c>
    </row>
    <row r="63" spans="1:8" x14ac:dyDescent="0.25">
      <c r="A63" s="42"/>
      <c r="D63" s="43"/>
      <c r="E63" s="43"/>
      <c r="F63" s="43"/>
      <c r="G63" s="43"/>
      <c r="H63" s="83"/>
    </row>
    <row r="64" spans="1:8" x14ac:dyDescent="0.25">
      <c r="A64" s="4" t="s">
        <v>80</v>
      </c>
      <c r="B64" s="129" t="s">
        <v>544</v>
      </c>
      <c r="C64" s="130"/>
      <c r="D64" s="38">
        <f>+D59+D62</f>
        <v>-17346199</v>
      </c>
      <c r="E64" s="38">
        <f>+E59+E62</f>
        <v>-319763402.26999998</v>
      </c>
      <c r="F64" s="38">
        <f>+F59+F62</f>
        <v>-319730292.26999998</v>
      </c>
      <c r="G64" s="38">
        <f t="shared" ref="G64" si="23">+G59+G62</f>
        <v>37132246</v>
      </c>
      <c r="H64" s="65">
        <f>+G64/F64</f>
        <v>-0.11613615255649046</v>
      </c>
    </row>
    <row r="65" spans="4:7" x14ac:dyDescent="0.25">
      <c r="G65" s="39"/>
    </row>
    <row r="66" spans="4:7" x14ac:dyDescent="0.25">
      <c r="D66" s="39"/>
      <c r="E66" s="39"/>
      <c r="G66" s="39"/>
    </row>
    <row r="67" spans="4:7" x14ac:dyDescent="0.25">
      <c r="D67" s="39"/>
      <c r="E67" s="39"/>
      <c r="G67" s="39"/>
    </row>
    <row r="68" spans="4:7" x14ac:dyDescent="0.25">
      <c r="D68" s="39"/>
      <c r="E68" s="39"/>
      <c r="G68" s="39"/>
    </row>
    <row r="70" spans="4:7" x14ac:dyDescent="0.25">
      <c r="D70" s="39"/>
      <c r="E70" s="39"/>
    </row>
  </sheetData>
  <mergeCells count="30">
    <mergeCell ref="D7:H7"/>
    <mergeCell ref="D14:H14"/>
    <mergeCell ref="D20:H20"/>
    <mergeCell ref="D32:H32"/>
    <mergeCell ref="D5:H5"/>
    <mergeCell ref="D30:H30"/>
    <mergeCell ref="A5:A6"/>
    <mergeCell ref="B20:C20"/>
    <mergeCell ref="B32:C32"/>
    <mergeCell ref="B5:C6"/>
    <mergeCell ref="B7:C7"/>
    <mergeCell ref="B19:C19"/>
    <mergeCell ref="B27:C27"/>
    <mergeCell ref="B28:C28"/>
    <mergeCell ref="A1:H1"/>
    <mergeCell ref="A2:H2"/>
    <mergeCell ref="B64:C64"/>
    <mergeCell ref="B4:C4"/>
    <mergeCell ref="B14:C14"/>
    <mergeCell ref="B30:C31"/>
    <mergeCell ref="B39:C39"/>
    <mergeCell ref="B51:C51"/>
    <mergeCell ref="B53:C53"/>
    <mergeCell ref="B44:C44"/>
    <mergeCell ref="B45:C45"/>
    <mergeCell ref="A52:H52"/>
    <mergeCell ref="D39:H39"/>
    <mergeCell ref="D45:H45"/>
    <mergeCell ref="A29:H29"/>
    <mergeCell ref="B56:C5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fitToHeight="7" orientation="landscape" r:id="rId1"/>
  <ignoredErrors>
    <ignoredError sqref="H13 H18:H19 H27:H28 H43:H44 H38 H50:H5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458C-0736-498B-8C56-BC0CE9DA8A5F}">
  <sheetPr>
    <pageSetUpPr fitToPage="1"/>
  </sheetPr>
  <dimension ref="A1:W38"/>
  <sheetViews>
    <sheetView workbookViewId="0">
      <pane ySplit="7" topLeftCell="A8" activePane="bottomLeft" state="frozen"/>
      <selection pane="bottomLeft" activeCell="J19" sqref="J19"/>
    </sheetView>
  </sheetViews>
  <sheetFormatPr defaultRowHeight="15" x14ac:dyDescent="0.25"/>
  <cols>
    <col min="1" max="1" width="8.140625" customWidth="1"/>
    <col min="3" max="3" width="40.85546875" customWidth="1"/>
    <col min="4" max="4" width="14.42578125" customWidth="1"/>
    <col min="5" max="5" width="14" customWidth="1"/>
    <col min="6" max="6" width="11.5703125" customWidth="1"/>
    <col min="7" max="7" width="8.28515625" style="19" customWidth="1"/>
    <col min="8" max="8" width="14.42578125" customWidth="1"/>
    <col min="9" max="9" width="14.7109375" customWidth="1"/>
    <col min="10" max="10" width="11.7109375" customWidth="1"/>
    <col min="11" max="11" width="8.28515625" style="19" customWidth="1"/>
    <col min="12" max="14" width="16.28515625" customWidth="1"/>
    <col min="15" max="15" width="7.42578125" customWidth="1"/>
    <col min="16" max="18" width="16.28515625" customWidth="1"/>
    <col min="19" max="19" width="9.140625" customWidth="1"/>
    <col min="23" max="23" width="30.28515625" style="52" customWidth="1"/>
  </cols>
  <sheetData>
    <row r="1" spans="1:21" x14ac:dyDescent="0.25">
      <c r="A1" s="92" t="s">
        <v>590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21" x14ac:dyDescent="0.25">
      <c r="A2" s="92" t="s">
        <v>429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4" spans="1:21" x14ac:dyDescent="0.25">
      <c r="A4" s="105" t="s">
        <v>0</v>
      </c>
      <c r="B4" s="21"/>
      <c r="C4" s="1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55</v>
      </c>
      <c r="M4" s="2" t="s">
        <v>582</v>
      </c>
      <c r="N4" s="2" t="s">
        <v>583</v>
      </c>
      <c r="O4" s="2" t="s">
        <v>584</v>
      </c>
      <c r="P4" s="2" t="s">
        <v>585</v>
      </c>
      <c r="Q4" s="2" t="s">
        <v>586</v>
      </c>
      <c r="R4" s="2" t="s">
        <v>587</v>
      </c>
      <c r="S4" s="2" t="s">
        <v>588</v>
      </c>
    </row>
    <row r="5" spans="1:21" ht="57" customHeight="1" x14ac:dyDescent="0.25">
      <c r="A5" s="105"/>
      <c r="B5" s="106" t="s">
        <v>10</v>
      </c>
      <c r="C5" s="107"/>
      <c r="D5" s="94" t="s">
        <v>16</v>
      </c>
      <c r="E5" s="95"/>
      <c r="F5" s="96"/>
      <c r="G5" s="97"/>
      <c r="H5" s="94" t="s">
        <v>15</v>
      </c>
      <c r="I5" s="95"/>
      <c r="J5" s="96"/>
      <c r="K5" s="97"/>
      <c r="L5" s="94" t="s">
        <v>14</v>
      </c>
      <c r="M5" s="95"/>
      <c r="N5" s="96"/>
      <c r="O5" s="97"/>
      <c r="P5" s="94" t="s">
        <v>43</v>
      </c>
      <c r="Q5" s="96"/>
      <c r="R5" s="96"/>
      <c r="S5" s="97"/>
    </row>
    <row r="6" spans="1:21" ht="19.5" customHeight="1" x14ac:dyDescent="0.25">
      <c r="A6" s="105"/>
      <c r="B6" s="108"/>
      <c r="C6" s="109"/>
      <c r="D6" s="1" t="s">
        <v>11</v>
      </c>
      <c r="E6" s="1" t="s">
        <v>12</v>
      </c>
      <c r="F6" s="98" t="s">
        <v>581</v>
      </c>
      <c r="G6" s="99"/>
      <c r="H6" s="1" t="s">
        <v>11</v>
      </c>
      <c r="I6" s="1" t="s">
        <v>12</v>
      </c>
      <c r="J6" s="98" t="s">
        <v>581</v>
      </c>
      <c r="K6" s="99"/>
      <c r="L6" s="1" t="s">
        <v>11</v>
      </c>
      <c r="M6" s="1" t="s">
        <v>12</v>
      </c>
      <c r="N6" s="98" t="s">
        <v>581</v>
      </c>
      <c r="O6" s="99"/>
      <c r="P6" s="1" t="s">
        <v>11</v>
      </c>
      <c r="Q6" s="1" t="s">
        <v>12</v>
      </c>
      <c r="R6" s="98" t="s">
        <v>581</v>
      </c>
      <c r="S6" s="99"/>
    </row>
    <row r="7" spans="1:21" ht="18.75" customHeight="1" x14ac:dyDescent="0.25">
      <c r="A7" s="105"/>
      <c r="B7" s="110"/>
      <c r="C7" s="111"/>
      <c r="D7" s="112" t="s">
        <v>13</v>
      </c>
      <c r="E7" s="113"/>
      <c r="F7" s="100"/>
      <c r="G7" s="100"/>
      <c r="H7" s="112" t="s">
        <v>13</v>
      </c>
      <c r="I7" s="112"/>
      <c r="J7" s="100"/>
      <c r="K7" s="100"/>
      <c r="L7" s="112" t="s">
        <v>13</v>
      </c>
      <c r="M7" s="112"/>
      <c r="N7" s="100"/>
      <c r="O7" s="100"/>
      <c r="P7" s="112" t="s">
        <v>13</v>
      </c>
      <c r="Q7" s="112"/>
      <c r="R7" s="100"/>
      <c r="S7" s="100"/>
    </row>
    <row r="8" spans="1:21" ht="27" customHeight="1" x14ac:dyDescent="0.25">
      <c r="A8" s="4" t="s">
        <v>17</v>
      </c>
      <c r="B8" s="104" t="s">
        <v>314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16"/>
    </row>
    <row r="9" spans="1:21" x14ac:dyDescent="0.25">
      <c r="A9" s="4" t="s">
        <v>18</v>
      </c>
      <c r="B9" s="44"/>
      <c r="C9" s="44" t="s">
        <v>594</v>
      </c>
      <c r="D9" s="86">
        <v>0</v>
      </c>
      <c r="E9" s="86">
        <v>0</v>
      </c>
      <c r="F9" s="86">
        <v>0</v>
      </c>
      <c r="G9" s="62"/>
      <c r="H9" s="44">
        <v>0</v>
      </c>
      <c r="I9" s="44">
        <v>83661</v>
      </c>
      <c r="J9" s="44">
        <v>83661</v>
      </c>
      <c r="K9" s="88">
        <f>+J9/I9</f>
        <v>1</v>
      </c>
      <c r="L9" s="44"/>
      <c r="M9" s="44"/>
      <c r="N9" s="44"/>
      <c r="O9" s="44"/>
      <c r="P9" s="44">
        <f>+D9+H9+L9</f>
        <v>0</v>
      </c>
      <c r="Q9" s="44">
        <f>+E9+I9+M9</f>
        <v>83661</v>
      </c>
      <c r="R9" s="44">
        <f>+F9+J9+N9</f>
        <v>83661</v>
      </c>
      <c r="S9" s="88">
        <f>+R9/Q9</f>
        <v>1</v>
      </c>
    </row>
    <row r="10" spans="1:21" ht="27" customHeight="1" x14ac:dyDescent="0.25">
      <c r="A10" s="4" t="s">
        <v>19</v>
      </c>
      <c r="B10" s="149" t="s">
        <v>423</v>
      </c>
      <c r="C10" s="153"/>
      <c r="D10" s="46">
        <f t="shared" ref="D10:R10" si="0">SUM(D9:D9)</f>
        <v>0</v>
      </c>
      <c r="E10" s="46">
        <f t="shared" si="0"/>
        <v>0</v>
      </c>
      <c r="F10" s="46"/>
      <c r="G10" s="46"/>
      <c r="H10" s="46">
        <f t="shared" si="0"/>
        <v>0</v>
      </c>
      <c r="I10" s="46">
        <f t="shared" si="0"/>
        <v>83661</v>
      </c>
      <c r="J10" s="46">
        <f t="shared" si="0"/>
        <v>83661</v>
      </c>
      <c r="K10" s="87">
        <f>+J10/I10</f>
        <v>1</v>
      </c>
      <c r="L10" s="46">
        <f t="shared" si="0"/>
        <v>0</v>
      </c>
      <c r="M10" s="46">
        <f t="shared" si="0"/>
        <v>0</v>
      </c>
      <c r="N10" s="46"/>
      <c r="O10" s="46"/>
      <c r="P10" s="46">
        <f t="shared" si="0"/>
        <v>0</v>
      </c>
      <c r="Q10" s="46">
        <f t="shared" si="0"/>
        <v>83661</v>
      </c>
      <c r="R10" s="46">
        <f t="shared" si="0"/>
        <v>83661</v>
      </c>
      <c r="S10" s="87">
        <f>+R10/Q10</f>
        <v>1</v>
      </c>
    </row>
    <row r="11" spans="1:21" ht="27" customHeight="1" x14ac:dyDescent="0.25">
      <c r="A11" s="4" t="s">
        <v>20</v>
      </c>
      <c r="B11" s="154" t="s">
        <v>315</v>
      </c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16"/>
    </row>
    <row r="12" spans="1:21" x14ac:dyDescent="0.25">
      <c r="A12" s="4" t="s">
        <v>21</v>
      </c>
      <c r="B12" s="49"/>
      <c r="C12" s="49" t="s">
        <v>556</v>
      </c>
      <c r="D12" s="49">
        <v>240393000</v>
      </c>
      <c r="E12" s="49">
        <v>240393000</v>
      </c>
      <c r="F12" s="86">
        <v>0</v>
      </c>
      <c r="G12" s="88">
        <f t="shared" ref="G12:G18" si="1">+F12/E12</f>
        <v>0</v>
      </c>
      <c r="H12" s="49"/>
      <c r="I12" s="49"/>
      <c r="J12" s="49"/>
      <c r="K12" s="89"/>
      <c r="L12" s="49"/>
      <c r="M12" s="49"/>
      <c r="N12" s="49"/>
      <c r="O12" s="49"/>
      <c r="P12" s="49">
        <f t="shared" ref="P12:P20" si="2">+D12+H12+L12</f>
        <v>240393000</v>
      </c>
      <c r="Q12" s="49">
        <f t="shared" ref="Q12:Q20" si="3">+E12+I12+M12</f>
        <v>240393000</v>
      </c>
      <c r="R12" s="44">
        <f t="shared" ref="R12:R20" si="4">+F12+J12+N12</f>
        <v>0</v>
      </c>
      <c r="S12" s="88">
        <f t="shared" ref="S12:S18" si="5">+R12/Q12</f>
        <v>0</v>
      </c>
    </row>
    <row r="13" spans="1:21" ht="30" x14ac:dyDescent="0.25">
      <c r="A13" s="4" t="s">
        <v>22</v>
      </c>
      <c r="B13" s="44"/>
      <c r="C13" s="6" t="s">
        <v>558</v>
      </c>
      <c r="D13" s="44">
        <v>75651000</v>
      </c>
      <c r="E13" s="44">
        <v>75651000</v>
      </c>
      <c r="F13" s="60">
        <v>0</v>
      </c>
      <c r="G13" s="88">
        <f t="shared" si="1"/>
        <v>0</v>
      </c>
      <c r="H13" s="44"/>
      <c r="I13" s="44"/>
      <c r="J13" s="44"/>
      <c r="K13" s="62"/>
      <c r="L13" s="44"/>
      <c r="M13" s="44"/>
      <c r="N13" s="44"/>
      <c r="O13" s="44"/>
      <c r="P13" s="44">
        <f t="shared" si="2"/>
        <v>75651000</v>
      </c>
      <c r="Q13" s="44">
        <f t="shared" si="3"/>
        <v>75651000</v>
      </c>
      <c r="R13" s="44">
        <f t="shared" si="4"/>
        <v>0</v>
      </c>
      <c r="S13" s="88">
        <f t="shared" si="5"/>
        <v>0</v>
      </c>
    </row>
    <row r="14" spans="1:21" ht="45" x14ac:dyDescent="0.25">
      <c r="A14" s="4" t="s">
        <v>23</v>
      </c>
      <c r="B14" s="44"/>
      <c r="C14" s="6" t="s">
        <v>559</v>
      </c>
      <c r="D14" s="44">
        <v>127988200</v>
      </c>
      <c r="E14" s="44">
        <v>127988200</v>
      </c>
      <c r="F14" s="60">
        <v>0</v>
      </c>
      <c r="G14" s="88">
        <f t="shared" si="1"/>
        <v>0</v>
      </c>
      <c r="H14" s="44"/>
      <c r="I14" s="44"/>
      <c r="J14" s="44"/>
      <c r="K14" s="62"/>
      <c r="L14" s="44"/>
      <c r="M14" s="44"/>
      <c r="N14" s="44"/>
      <c r="O14" s="44"/>
      <c r="P14" s="44">
        <f t="shared" si="2"/>
        <v>127988200</v>
      </c>
      <c r="Q14" s="44">
        <f t="shared" si="3"/>
        <v>127988200</v>
      </c>
      <c r="R14" s="44">
        <f t="shared" si="4"/>
        <v>0</v>
      </c>
      <c r="S14" s="88">
        <f t="shared" si="5"/>
        <v>0</v>
      </c>
    </row>
    <row r="15" spans="1:21" x14ac:dyDescent="0.25">
      <c r="A15" s="4" t="s">
        <v>24</v>
      </c>
      <c r="B15" s="44"/>
      <c r="C15" s="6" t="s">
        <v>560</v>
      </c>
      <c r="D15" s="44">
        <f>38280539-19140270</f>
        <v>19140269</v>
      </c>
      <c r="E15" s="61">
        <f>19140269+94552</f>
        <v>19234821</v>
      </c>
      <c r="F15" s="61">
        <v>19234821</v>
      </c>
      <c r="G15" s="88">
        <f t="shared" si="1"/>
        <v>1</v>
      </c>
      <c r="H15" s="44"/>
      <c r="I15" s="44"/>
      <c r="J15" s="44"/>
      <c r="K15" s="62"/>
      <c r="L15" s="44"/>
      <c r="M15" s="44"/>
      <c r="N15" s="44"/>
      <c r="O15" s="44"/>
      <c r="P15" s="44">
        <f t="shared" si="2"/>
        <v>19140269</v>
      </c>
      <c r="Q15" s="44">
        <f t="shared" si="3"/>
        <v>19234821</v>
      </c>
      <c r="R15" s="44">
        <f t="shared" si="4"/>
        <v>19234821</v>
      </c>
      <c r="S15" s="88">
        <f t="shared" si="5"/>
        <v>1</v>
      </c>
      <c r="U15" s="50"/>
    </row>
    <row r="16" spans="1:21" x14ac:dyDescent="0.25">
      <c r="A16" s="4" t="s">
        <v>25</v>
      </c>
      <c r="B16" s="44"/>
      <c r="C16" s="6" t="s">
        <v>561</v>
      </c>
      <c r="D16" s="44">
        <f>3155124+1586599+1270000</f>
        <v>6011723</v>
      </c>
      <c r="E16" s="44">
        <v>6549187</v>
      </c>
      <c r="F16" s="44">
        <v>6549187</v>
      </c>
      <c r="G16" s="88">
        <f t="shared" si="1"/>
        <v>1</v>
      </c>
      <c r="H16" s="44"/>
      <c r="I16" s="44"/>
      <c r="J16" s="44"/>
      <c r="K16" s="62"/>
      <c r="L16" s="44"/>
      <c r="M16" s="44"/>
      <c r="N16" s="44"/>
      <c r="O16" s="44"/>
      <c r="P16" s="44">
        <f t="shared" si="2"/>
        <v>6011723</v>
      </c>
      <c r="Q16" s="44">
        <f t="shared" si="3"/>
        <v>6549187</v>
      </c>
      <c r="R16" s="44">
        <f t="shared" si="4"/>
        <v>6549187</v>
      </c>
      <c r="S16" s="88">
        <f t="shared" si="5"/>
        <v>1</v>
      </c>
      <c r="U16" s="50"/>
    </row>
    <row r="17" spans="1:21" ht="30" x14ac:dyDescent="0.25">
      <c r="A17" s="4" t="s">
        <v>26</v>
      </c>
      <c r="B17" s="44"/>
      <c r="C17" s="6" t="s">
        <v>562</v>
      </c>
      <c r="D17" s="44">
        <f>2694407+100000</f>
        <v>2794407</v>
      </c>
      <c r="E17" s="44">
        <v>2794410</v>
      </c>
      <c r="F17" s="44">
        <f>2694410-3</f>
        <v>2694407</v>
      </c>
      <c r="G17" s="88">
        <f t="shared" si="1"/>
        <v>0.96421319706127595</v>
      </c>
      <c r="H17" s="44"/>
      <c r="I17" s="44"/>
      <c r="J17" s="44"/>
      <c r="K17" s="62"/>
      <c r="L17" s="44"/>
      <c r="M17" s="44"/>
      <c r="N17" s="44"/>
      <c r="O17" s="44"/>
      <c r="P17" s="44">
        <f t="shared" si="2"/>
        <v>2794407</v>
      </c>
      <c r="Q17" s="44">
        <f t="shared" si="3"/>
        <v>2794410</v>
      </c>
      <c r="R17" s="44">
        <f t="shared" si="4"/>
        <v>2694407</v>
      </c>
      <c r="S17" s="88">
        <f t="shared" si="5"/>
        <v>0.96421319706127595</v>
      </c>
      <c r="U17" s="50"/>
    </row>
    <row r="18" spans="1:21" x14ac:dyDescent="0.25">
      <c r="A18" s="4" t="s">
        <v>27</v>
      </c>
      <c r="B18" s="44"/>
      <c r="C18" s="6" t="s">
        <v>566</v>
      </c>
      <c r="D18" s="44">
        <v>11500000</v>
      </c>
      <c r="E18" s="44">
        <v>11500000</v>
      </c>
      <c r="F18" s="60">
        <v>0</v>
      </c>
      <c r="G18" s="88">
        <f t="shared" si="1"/>
        <v>0</v>
      </c>
      <c r="H18" s="44"/>
      <c r="I18" s="44"/>
      <c r="J18" s="44"/>
      <c r="K18" s="62"/>
      <c r="L18" s="44"/>
      <c r="M18" s="44"/>
      <c r="N18" s="44"/>
      <c r="O18" s="44"/>
      <c r="P18" s="44">
        <f t="shared" si="2"/>
        <v>11500000</v>
      </c>
      <c r="Q18" s="44">
        <f t="shared" si="3"/>
        <v>11500000</v>
      </c>
      <c r="R18" s="44">
        <f t="shared" si="4"/>
        <v>0</v>
      </c>
      <c r="S18" s="88">
        <f t="shared" si="5"/>
        <v>0</v>
      </c>
    </row>
    <row r="19" spans="1:21" x14ac:dyDescent="0.25">
      <c r="A19" s="4" t="s">
        <v>28</v>
      </c>
      <c r="B19" s="44"/>
      <c r="C19" s="6" t="s">
        <v>572</v>
      </c>
      <c r="D19" s="44">
        <v>500000</v>
      </c>
      <c r="E19" s="60">
        <v>0</v>
      </c>
      <c r="F19" s="60">
        <v>0</v>
      </c>
      <c r="G19" s="88"/>
      <c r="H19" s="44"/>
      <c r="I19" s="44"/>
      <c r="J19" s="44"/>
      <c r="K19" s="62"/>
      <c r="L19" s="44"/>
      <c r="M19" s="44"/>
      <c r="N19" s="44"/>
      <c r="O19" s="44"/>
      <c r="P19" s="44">
        <f t="shared" si="2"/>
        <v>500000</v>
      </c>
      <c r="Q19" s="44">
        <f t="shared" si="3"/>
        <v>0</v>
      </c>
      <c r="R19" s="44">
        <f t="shared" si="4"/>
        <v>0</v>
      </c>
      <c r="S19" s="88"/>
    </row>
    <row r="20" spans="1:21" x14ac:dyDescent="0.25">
      <c r="A20" s="4" t="s">
        <v>29</v>
      </c>
      <c r="B20" s="44"/>
      <c r="C20" s="44"/>
      <c r="D20" s="44"/>
      <c r="E20" s="44"/>
      <c r="F20" s="44"/>
      <c r="G20" s="62"/>
      <c r="H20" s="44"/>
      <c r="I20" s="44"/>
      <c r="J20" s="44"/>
      <c r="K20" s="62"/>
      <c r="L20" s="44"/>
      <c r="M20" s="44"/>
      <c r="N20" s="44"/>
      <c r="O20" s="44"/>
      <c r="P20" s="44">
        <f t="shared" si="2"/>
        <v>0</v>
      </c>
      <c r="Q20" s="44">
        <f t="shared" si="3"/>
        <v>0</v>
      </c>
      <c r="R20" s="44">
        <f t="shared" si="4"/>
        <v>0</v>
      </c>
      <c r="S20" s="36"/>
    </row>
    <row r="21" spans="1:21" ht="27" customHeight="1" x14ac:dyDescent="0.25">
      <c r="A21" s="4" t="s">
        <v>30</v>
      </c>
      <c r="B21" s="149" t="s">
        <v>424</v>
      </c>
      <c r="C21" s="153"/>
      <c r="D21" s="46">
        <f t="shared" ref="D21:R21" si="6">SUM(D12:D20)</f>
        <v>483978599</v>
      </c>
      <c r="E21" s="46">
        <f t="shared" si="6"/>
        <v>484110618</v>
      </c>
      <c r="F21" s="46">
        <f t="shared" si="6"/>
        <v>28478415</v>
      </c>
      <c r="G21" s="87">
        <f>+F21/E21</f>
        <v>5.8826255696792007E-2</v>
      </c>
      <c r="H21" s="46">
        <f t="shared" si="6"/>
        <v>0</v>
      </c>
      <c r="I21" s="46">
        <f t="shared" si="6"/>
        <v>0</v>
      </c>
      <c r="J21" s="46"/>
      <c r="K21" s="46"/>
      <c r="L21" s="46">
        <f t="shared" si="6"/>
        <v>0</v>
      </c>
      <c r="M21" s="46">
        <f t="shared" si="6"/>
        <v>0</v>
      </c>
      <c r="N21" s="46"/>
      <c r="O21" s="46"/>
      <c r="P21" s="46">
        <f t="shared" si="6"/>
        <v>483978599</v>
      </c>
      <c r="Q21" s="46">
        <f t="shared" si="6"/>
        <v>484110618</v>
      </c>
      <c r="R21" s="46">
        <f t="shared" si="6"/>
        <v>28478415</v>
      </c>
      <c r="S21" s="87">
        <f>+R21/Q21</f>
        <v>5.8826255696792007E-2</v>
      </c>
    </row>
    <row r="22" spans="1:21" ht="27" customHeight="1" x14ac:dyDescent="0.25">
      <c r="A22" s="4" t="s">
        <v>31</v>
      </c>
      <c r="B22" s="154" t="s">
        <v>316</v>
      </c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16"/>
    </row>
    <row r="23" spans="1:21" x14ac:dyDescent="0.25">
      <c r="A23" s="4" t="s">
        <v>32</v>
      </c>
      <c r="B23" s="49"/>
      <c r="C23" s="49" t="s">
        <v>568</v>
      </c>
      <c r="D23" s="60"/>
      <c r="E23" s="60"/>
      <c r="F23" s="60"/>
      <c r="G23" s="89"/>
      <c r="H23" s="49"/>
      <c r="I23" s="49"/>
      <c r="J23" s="49"/>
      <c r="K23" s="89"/>
      <c r="L23" s="49">
        <v>500000</v>
      </c>
      <c r="M23" s="49">
        <v>500000</v>
      </c>
      <c r="N23" s="49">
        <v>227800</v>
      </c>
      <c r="O23" s="88">
        <f>+N23/M23</f>
        <v>0.4556</v>
      </c>
      <c r="P23" s="49">
        <f t="shared" ref="P23:P24" si="7">+D23+H23+L23</f>
        <v>500000</v>
      </c>
      <c r="Q23" s="49">
        <f t="shared" ref="Q23:Q24" si="8">+E23+I23+M23</f>
        <v>500000</v>
      </c>
      <c r="R23" s="44">
        <f>+F23+J23+N23</f>
        <v>227800</v>
      </c>
      <c r="S23" s="88">
        <f>+R23/Q23</f>
        <v>0.4556</v>
      </c>
    </row>
    <row r="24" spans="1:21" ht="30" x14ac:dyDescent="0.25">
      <c r="A24" s="4" t="s">
        <v>33</v>
      </c>
      <c r="B24" s="44"/>
      <c r="C24" s="44" t="s">
        <v>569</v>
      </c>
      <c r="D24" s="60"/>
      <c r="E24" s="60"/>
      <c r="F24" s="60"/>
      <c r="G24" s="62"/>
      <c r="H24" s="44">
        <v>254000</v>
      </c>
      <c r="I24" s="44">
        <v>254000</v>
      </c>
      <c r="J24" s="60">
        <v>0</v>
      </c>
      <c r="K24" s="88">
        <f>+J24/I24</f>
        <v>0</v>
      </c>
      <c r="L24" s="44"/>
      <c r="M24" s="44"/>
      <c r="N24" s="44"/>
      <c r="O24" s="44"/>
      <c r="P24" s="44">
        <f t="shared" si="7"/>
        <v>254000</v>
      </c>
      <c r="Q24" s="44">
        <f t="shared" si="8"/>
        <v>254000</v>
      </c>
      <c r="R24" s="44">
        <f>+F24+J24+N24</f>
        <v>0</v>
      </c>
      <c r="S24" s="88">
        <f>+R24/Q24</f>
        <v>0</v>
      </c>
    </row>
    <row r="25" spans="1:21" ht="27" customHeight="1" x14ac:dyDescent="0.25">
      <c r="A25" s="4" t="s">
        <v>34</v>
      </c>
      <c r="B25" s="149" t="s">
        <v>425</v>
      </c>
      <c r="C25" s="153"/>
      <c r="D25" s="46">
        <f>SUM(D23:D24)</f>
        <v>0</v>
      </c>
      <c r="E25" s="46">
        <f t="shared" ref="E25:R25" si="9">SUM(E23:E24)</f>
        <v>0</v>
      </c>
      <c r="F25" s="46"/>
      <c r="G25" s="46"/>
      <c r="H25" s="46">
        <f t="shared" si="9"/>
        <v>254000</v>
      </c>
      <c r="I25" s="46">
        <f t="shared" si="9"/>
        <v>254000</v>
      </c>
      <c r="J25" s="91">
        <f t="shared" si="9"/>
        <v>0</v>
      </c>
      <c r="K25" s="87">
        <f>+J25/I25</f>
        <v>0</v>
      </c>
      <c r="L25" s="46">
        <f t="shared" si="9"/>
        <v>500000</v>
      </c>
      <c r="M25" s="46">
        <f t="shared" si="9"/>
        <v>500000</v>
      </c>
      <c r="N25" s="46">
        <f t="shared" si="9"/>
        <v>227800</v>
      </c>
      <c r="O25" s="87">
        <f>+N25/M25</f>
        <v>0.4556</v>
      </c>
      <c r="P25" s="46">
        <f t="shared" si="9"/>
        <v>754000</v>
      </c>
      <c r="Q25" s="46">
        <f t="shared" si="9"/>
        <v>754000</v>
      </c>
      <c r="R25" s="46">
        <f t="shared" si="9"/>
        <v>227800</v>
      </c>
      <c r="S25" s="87">
        <f>+R25/Q25</f>
        <v>0.30212201591511939</v>
      </c>
    </row>
    <row r="26" spans="1:21" ht="27" customHeight="1" x14ac:dyDescent="0.25">
      <c r="A26" s="4" t="s">
        <v>35</v>
      </c>
      <c r="B26" s="154" t="s">
        <v>317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16"/>
    </row>
    <row r="27" spans="1:21" x14ac:dyDescent="0.25">
      <c r="A27" s="4" t="s">
        <v>36</v>
      </c>
      <c r="B27" s="49"/>
      <c r="C27" s="49" t="s">
        <v>565</v>
      </c>
      <c r="D27" s="49">
        <v>22000000</v>
      </c>
      <c r="E27" s="49">
        <v>22000000</v>
      </c>
      <c r="F27" s="60">
        <v>0</v>
      </c>
      <c r="G27" s="88">
        <f>+F27/E27</f>
        <v>0</v>
      </c>
      <c r="H27" s="49"/>
      <c r="I27" s="49"/>
      <c r="J27" s="49"/>
      <c r="K27" s="89"/>
      <c r="L27" s="49"/>
      <c r="M27" s="49"/>
      <c r="N27" s="49"/>
      <c r="O27" s="49"/>
      <c r="P27" s="49">
        <f t="shared" ref="P27:P33" si="10">+D27+H27+L27</f>
        <v>22000000</v>
      </c>
      <c r="Q27" s="49">
        <f t="shared" ref="Q27:Q33" si="11">+E27+I27+M27</f>
        <v>22000000</v>
      </c>
      <c r="R27" s="44">
        <f t="shared" ref="R27:R33" si="12">+F27+J27+N27</f>
        <v>0</v>
      </c>
      <c r="S27" s="88">
        <f>+R27/Q27</f>
        <v>0</v>
      </c>
    </row>
    <row r="28" spans="1:21" x14ac:dyDescent="0.25">
      <c r="A28" s="4" t="s">
        <v>37</v>
      </c>
      <c r="B28" s="44"/>
      <c r="C28" s="44" t="s">
        <v>563</v>
      </c>
      <c r="D28" s="44">
        <v>2560000</v>
      </c>
      <c r="E28" s="44">
        <v>2560000</v>
      </c>
      <c r="F28" s="60">
        <v>0</v>
      </c>
      <c r="G28" s="88">
        <f>+F28/E28</f>
        <v>0</v>
      </c>
      <c r="H28" s="44"/>
      <c r="I28" s="44"/>
      <c r="J28" s="44"/>
      <c r="K28" s="62"/>
      <c r="L28" s="44"/>
      <c r="M28" s="44"/>
      <c r="N28" s="44"/>
      <c r="O28" s="44"/>
      <c r="P28" s="44">
        <f t="shared" si="10"/>
        <v>2560000</v>
      </c>
      <c r="Q28" s="44">
        <f t="shared" si="11"/>
        <v>2560000</v>
      </c>
      <c r="R28" s="44">
        <f t="shared" si="12"/>
        <v>0</v>
      </c>
      <c r="S28" s="88">
        <f>+R28/Q28</f>
        <v>0</v>
      </c>
    </row>
    <row r="29" spans="1:21" x14ac:dyDescent="0.25">
      <c r="A29" s="4" t="s">
        <v>38</v>
      </c>
      <c r="B29" s="44"/>
      <c r="C29" s="44" t="s">
        <v>567</v>
      </c>
      <c r="D29" s="44"/>
      <c r="E29" s="44"/>
      <c r="F29" s="44"/>
      <c r="G29" s="62"/>
      <c r="H29" s="44"/>
      <c r="I29" s="44"/>
      <c r="J29" s="44"/>
      <c r="K29" s="62"/>
      <c r="L29" s="44"/>
      <c r="M29" s="44"/>
      <c r="N29" s="44"/>
      <c r="O29" s="44"/>
      <c r="P29" s="44">
        <f t="shared" si="10"/>
        <v>0</v>
      </c>
      <c r="Q29" s="44">
        <f t="shared" si="11"/>
        <v>0</v>
      </c>
      <c r="R29" s="44">
        <f t="shared" si="12"/>
        <v>0</v>
      </c>
      <c r="S29" s="88"/>
    </row>
    <row r="30" spans="1:21" ht="32.25" customHeight="1" x14ac:dyDescent="0.25">
      <c r="A30" s="4" t="s">
        <v>39</v>
      </c>
      <c r="B30" s="44"/>
      <c r="C30" s="47" t="s">
        <v>564</v>
      </c>
      <c r="D30" s="44"/>
      <c r="E30" s="44"/>
      <c r="F30" s="44"/>
      <c r="G30" s="62"/>
      <c r="H30" s="44"/>
      <c r="I30" s="44"/>
      <c r="J30" s="44"/>
      <c r="K30" s="62"/>
      <c r="L30" s="44">
        <v>1500000</v>
      </c>
      <c r="M30" s="44">
        <v>1500000</v>
      </c>
      <c r="N30" s="60">
        <v>0</v>
      </c>
      <c r="O30" s="88">
        <f>+N30/M30</f>
        <v>0</v>
      </c>
      <c r="P30" s="44">
        <f t="shared" si="10"/>
        <v>1500000</v>
      </c>
      <c r="Q30" s="44">
        <f t="shared" si="11"/>
        <v>1500000</v>
      </c>
      <c r="R30" s="44">
        <f t="shared" si="12"/>
        <v>0</v>
      </c>
      <c r="S30" s="88">
        <f>+R30/Q30</f>
        <v>0</v>
      </c>
    </row>
    <row r="31" spans="1:21" x14ac:dyDescent="0.25">
      <c r="A31" s="4" t="s">
        <v>40</v>
      </c>
      <c r="B31" s="44"/>
      <c r="C31" s="44" t="s">
        <v>570</v>
      </c>
      <c r="D31" s="60">
        <v>0</v>
      </c>
      <c r="E31" s="44">
        <v>40990</v>
      </c>
      <c r="F31" s="44">
        <v>40990</v>
      </c>
      <c r="G31" s="88">
        <f>+F31/E31</f>
        <v>1</v>
      </c>
      <c r="H31" s="51">
        <v>270000</v>
      </c>
      <c r="I31" s="44">
        <f>+H31+418910-83661</f>
        <v>605249</v>
      </c>
      <c r="J31" s="44">
        <v>597469</v>
      </c>
      <c r="K31" s="88">
        <f>+J31/I31</f>
        <v>0.9871457862796964</v>
      </c>
      <c r="L31" s="44"/>
      <c r="M31" s="44"/>
      <c r="N31" s="44"/>
      <c r="O31" s="44"/>
      <c r="P31" s="44">
        <f t="shared" ref="P31:P32" si="13">+D31+H31+L31</f>
        <v>270000</v>
      </c>
      <c r="Q31" s="44">
        <f t="shared" ref="Q31" si="14">+E31+I31+M31</f>
        <v>646239</v>
      </c>
      <c r="R31" s="44">
        <f t="shared" si="12"/>
        <v>638459</v>
      </c>
      <c r="S31" s="88">
        <f>+R31/Q31</f>
        <v>0.98796111036319378</v>
      </c>
    </row>
    <row r="32" spans="1:21" x14ac:dyDescent="0.25">
      <c r="A32" s="4" t="s">
        <v>41</v>
      </c>
      <c r="B32" s="44"/>
      <c r="C32" s="44"/>
      <c r="D32" s="44"/>
      <c r="E32" s="44"/>
      <c r="F32" s="44"/>
      <c r="G32" s="62"/>
      <c r="H32" s="44"/>
      <c r="I32" s="44"/>
      <c r="J32" s="44"/>
      <c r="K32" s="62"/>
      <c r="L32" s="44"/>
      <c r="M32" s="44"/>
      <c r="N32" s="44"/>
      <c r="O32" s="44"/>
      <c r="P32" s="44">
        <f t="shared" si="13"/>
        <v>0</v>
      </c>
      <c r="Q32" s="44"/>
      <c r="R32" s="44">
        <f t="shared" si="12"/>
        <v>0</v>
      </c>
      <c r="S32" s="36"/>
    </row>
    <row r="33" spans="1:19" x14ac:dyDescent="0.25">
      <c r="A33" s="4" t="s">
        <v>42</v>
      </c>
      <c r="B33" s="44"/>
      <c r="C33" s="44"/>
      <c r="D33" s="44"/>
      <c r="E33" s="44"/>
      <c r="F33" s="44"/>
      <c r="G33" s="62"/>
      <c r="H33" s="44"/>
      <c r="I33" s="44"/>
      <c r="J33" s="44"/>
      <c r="K33" s="62"/>
      <c r="L33" s="44"/>
      <c r="M33" s="44"/>
      <c r="N33" s="44"/>
      <c r="O33" s="44"/>
      <c r="P33" s="44">
        <f t="shared" si="10"/>
        <v>0</v>
      </c>
      <c r="Q33" s="44">
        <f t="shared" si="11"/>
        <v>0</v>
      </c>
      <c r="R33" s="44">
        <f t="shared" si="12"/>
        <v>0</v>
      </c>
      <c r="S33" s="36"/>
    </row>
    <row r="34" spans="1:19" ht="27" customHeight="1" x14ac:dyDescent="0.25">
      <c r="A34" s="4" t="s">
        <v>56</v>
      </c>
      <c r="B34" s="149" t="s">
        <v>426</v>
      </c>
      <c r="C34" s="150"/>
      <c r="D34" s="46">
        <f>SUM(D27:D33)</f>
        <v>24560000</v>
      </c>
      <c r="E34" s="46">
        <f t="shared" ref="E34:R34" si="15">SUM(E27:E33)</f>
        <v>24600990</v>
      </c>
      <c r="F34" s="46">
        <f t="shared" si="15"/>
        <v>40990</v>
      </c>
      <c r="G34" s="87">
        <f>+F34/E34</f>
        <v>1.6661931084887235E-3</v>
      </c>
      <c r="H34" s="46">
        <f t="shared" si="15"/>
        <v>270000</v>
      </c>
      <c r="I34" s="46">
        <f t="shared" si="15"/>
        <v>605249</v>
      </c>
      <c r="J34" s="46">
        <f t="shared" si="15"/>
        <v>597469</v>
      </c>
      <c r="K34" s="87">
        <f>+J34/I34</f>
        <v>0.9871457862796964</v>
      </c>
      <c r="L34" s="46">
        <f t="shared" si="15"/>
        <v>1500000</v>
      </c>
      <c r="M34" s="46">
        <f t="shared" si="15"/>
        <v>1500000</v>
      </c>
      <c r="N34" s="91">
        <f t="shared" si="15"/>
        <v>0</v>
      </c>
      <c r="O34" s="87">
        <f>+N34/M34</f>
        <v>0</v>
      </c>
      <c r="P34" s="46">
        <f t="shared" si="15"/>
        <v>26330000</v>
      </c>
      <c r="Q34" s="46">
        <f t="shared" si="15"/>
        <v>26706239</v>
      </c>
      <c r="R34" s="46">
        <f t="shared" si="15"/>
        <v>638459</v>
      </c>
      <c r="S34" s="87">
        <f>+R34/Q34</f>
        <v>2.3906735800574539E-2</v>
      </c>
    </row>
    <row r="35" spans="1:19" ht="25.5" customHeight="1" x14ac:dyDescent="0.25">
      <c r="A35" s="4" t="s">
        <v>57</v>
      </c>
      <c r="B35" s="151" t="s">
        <v>427</v>
      </c>
      <c r="C35" s="152"/>
      <c r="D35" s="45">
        <f t="shared" ref="D35:R35" si="16">+D10+D21+D25+D34</f>
        <v>508538599</v>
      </c>
      <c r="E35" s="45">
        <f t="shared" si="16"/>
        <v>508711608</v>
      </c>
      <c r="F35" s="45">
        <f t="shared" si="16"/>
        <v>28519405</v>
      </c>
      <c r="G35" s="85">
        <f>+F35/E35</f>
        <v>5.6062029156606151E-2</v>
      </c>
      <c r="H35" s="45">
        <f t="shared" si="16"/>
        <v>524000</v>
      </c>
      <c r="I35" s="45">
        <f t="shared" si="16"/>
        <v>942910</v>
      </c>
      <c r="J35" s="45">
        <f t="shared" si="16"/>
        <v>681130</v>
      </c>
      <c r="K35" s="85">
        <f>+J35/I35</f>
        <v>0.72237010955446435</v>
      </c>
      <c r="L35" s="45">
        <f t="shared" si="16"/>
        <v>2000000</v>
      </c>
      <c r="M35" s="45">
        <f t="shared" si="16"/>
        <v>2000000</v>
      </c>
      <c r="N35" s="45">
        <f t="shared" si="16"/>
        <v>227800</v>
      </c>
      <c r="O35" s="85">
        <f>+N35/M35</f>
        <v>0.1139</v>
      </c>
      <c r="P35" s="45">
        <f t="shared" si="16"/>
        <v>511062599</v>
      </c>
      <c r="Q35" s="45">
        <f t="shared" si="16"/>
        <v>511654518</v>
      </c>
      <c r="R35" s="45">
        <f t="shared" si="16"/>
        <v>29428335</v>
      </c>
      <c r="S35" s="85">
        <f>+R35/Q35</f>
        <v>5.7516026859358249E-2</v>
      </c>
    </row>
    <row r="38" spans="1:19" x14ac:dyDescent="0.25">
      <c r="E38" s="50"/>
      <c r="F38" s="50"/>
      <c r="G38" s="90"/>
    </row>
  </sheetData>
  <mergeCells count="25">
    <mergeCell ref="B34:C34"/>
    <mergeCell ref="B35:C35"/>
    <mergeCell ref="B10:C10"/>
    <mergeCell ref="B21:C21"/>
    <mergeCell ref="B25:C25"/>
    <mergeCell ref="B11:S11"/>
    <mergeCell ref="B22:S22"/>
    <mergeCell ref="B26:S26"/>
    <mergeCell ref="A2:S2"/>
    <mergeCell ref="A1:S1"/>
    <mergeCell ref="D7:E7"/>
    <mergeCell ref="H7:I7"/>
    <mergeCell ref="L7:M7"/>
    <mergeCell ref="P7:Q7"/>
    <mergeCell ref="F6:G7"/>
    <mergeCell ref="J6:K7"/>
    <mergeCell ref="N6:O7"/>
    <mergeCell ref="B8:S8"/>
    <mergeCell ref="D5:G5"/>
    <mergeCell ref="H5:K5"/>
    <mergeCell ref="L5:O5"/>
    <mergeCell ref="A4:A7"/>
    <mergeCell ref="B5:C7"/>
    <mergeCell ref="P5:S5"/>
    <mergeCell ref="R6:S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ignoredErrors>
    <ignoredError sqref="G34:G35 G21 K34:K3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8023-8323-4409-8AF2-A5C7148CFF3A}">
  <sheetPr>
    <pageSetUpPr fitToPage="1"/>
  </sheetPr>
  <dimension ref="A1:S11"/>
  <sheetViews>
    <sheetView tabSelected="1" workbookViewId="0">
      <selection activeCell="L20" sqref="L20"/>
    </sheetView>
  </sheetViews>
  <sheetFormatPr defaultRowHeight="15" x14ac:dyDescent="0.25"/>
  <cols>
    <col min="3" max="3" width="42.140625" customWidth="1"/>
    <col min="4" max="6" width="14.140625" customWidth="1"/>
    <col min="7" max="7" width="7.140625" customWidth="1"/>
    <col min="8" max="9" width="16.28515625" customWidth="1"/>
    <col min="10" max="10" width="12" customWidth="1"/>
    <col min="11" max="11" width="6.42578125" customWidth="1"/>
    <col min="12" max="13" width="16.28515625" customWidth="1"/>
    <col min="14" max="14" width="12.42578125" customWidth="1"/>
    <col min="15" max="15" width="6" customWidth="1"/>
    <col min="16" max="17" width="16.28515625" customWidth="1"/>
    <col min="18" max="18" width="12.85546875" customWidth="1"/>
    <col min="19" max="19" width="7" customWidth="1"/>
  </cols>
  <sheetData>
    <row r="1" spans="1:19" x14ac:dyDescent="0.25">
      <c r="A1" s="92" t="s">
        <v>590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</row>
    <row r="2" spans="1:19" x14ac:dyDescent="0.25">
      <c r="A2" s="92" t="s">
        <v>430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</row>
    <row r="4" spans="1:19" x14ac:dyDescent="0.25">
      <c r="A4" s="105" t="s">
        <v>0</v>
      </c>
      <c r="B4" s="21"/>
      <c r="C4" s="12" t="s">
        <v>1</v>
      </c>
      <c r="D4" s="2" t="s">
        <v>2</v>
      </c>
      <c r="E4" s="2" t="s">
        <v>3</v>
      </c>
      <c r="F4" s="2"/>
      <c r="G4" s="2"/>
      <c r="H4" s="2" t="s">
        <v>4</v>
      </c>
      <c r="I4" s="2" t="s">
        <v>5</v>
      </c>
      <c r="J4" s="2"/>
      <c r="K4" s="2"/>
      <c r="L4" s="2" t="s">
        <v>6</v>
      </c>
      <c r="M4" s="2" t="s">
        <v>7</v>
      </c>
      <c r="N4" s="2"/>
      <c r="O4" s="2"/>
      <c r="P4" s="2" t="s">
        <v>8</v>
      </c>
      <c r="Q4" s="2" t="s">
        <v>9</v>
      </c>
      <c r="R4" s="2"/>
      <c r="S4" s="2"/>
    </row>
    <row r="5" spans="1:19" ht="45.75" customHeight="1" x14ac:dyDescent="0.25">
      <c r="A5" s="105"/>
      <c r="B5" s="106" t="s">
        <v>10</v>
      </c>
      <c r="C5" s="107"/>
      <c r="D5" s="94" t="s">
        <v>16</v>
      </c>
      <c r="E5" s="95"/>
      <c r="F5" s="96"/>
      <c r="G5" s="97"/>
      <c r="H5" s="94" t="s">
        <v>15</v>
      </c>
      <c r="I5" s="95"/>
      <c r="J5" s="96"/>
      <c r="K5" s="97"/>
      <c r="L5" s="94" t="s">
        <v>14</v>
      </c>
      <c r="M5" s="95"/>
      <c r="N5" s="96"/>
      <c r="O5" s="97"/>
      <c r="P5" s="94" t="s">
        <v>43</v>
      </c>
      <c r="Q5" s="95"/>
      <c r="R5" s="101"/>
      <c r="S5" s="101"/>
    </row>
    <row r="6" spans="1:19" x14ac:dyDescent="0.25">
      <c r="A6" s="105"/>
      <c r="B6" s="108"/>
      <c r="C6" s="109"/>
      <c r="D6" s="1" t="s">
        <v>11</v>
      </c>
      <c r="E6" s="1" t="s">
        <v>12</v>
      </c>
      <c r="F6" s="98" t="s">
        <v>581</v>
      </c>
      <c r="G6" s="99"/>
      <c r="H6" s="1" t="s">
        <v>11</v>
      </c>
      <c r="I6" s="1" t="s">
        <v>12</v>
      </c>
      <c r="J6" s="98" t="s">
        <v>581</v>
      </c>
      <c r="K6" s="99"/>
      <c r="L6" s="1" t="s">
        <v>11</v>
      </c>
      <c r="M6" s="1" t="s">
        <v>12</v>
      </c>
      <c r="N6" s="98" t="s">
        <v>581</v>
      </c>
      <c r="O6" s="99"/>
      <c r="P6" s="1" t="s">
        <v>11</v>
      </c>
      <c r="Q6" s="1" t="s">
        <v>12</v>
      </c>
      <c r="R6" s="98" t="s">
        <v>581</v>
      </c>
      <c r="S6" s="99"/>
    </row>
    <row r="7" spans="1:19" x14ac:dyDescent="0.25">
      <c r="A7" s="105"/>
      <c r="B7" s="110"/>
      <c r="C7" s="111"/>
      <c r="D7" s="112" t="s">
        <v>13</v>
      </c>
      <c r="E7" s="113"/>
      <c r="F7" s="100"/>
      <c r="G7" s="100"/>
      <c r="H7" s="112" t="s">
        <v>13</v>
      </c>
      <c r="I7" s="112"/>
      <c r="J7" s="100"/>
      <c r="K7" s="100"/>
      <c r="L7" s="112" t="s">
        <v>13</v>
      </c>
      <c r="M7" s="112"/>
      <c r="N7" s="100"/>
      <c r="O7" s="100"/>
      <c r="P7" s="112" t="s">
        <v>13</v>
      </c>
      <c r="Q7" s="112"/>
      <c r="R7" s="100"/>
      <c r="S7" s="100"/>
    </row>
    <row r="8" spans="1:19" ht="27" customHeight="1" x14ac:dyDescent="0.25">
      <c r="A8" s="4" t="s">
        <v>17</v>
      </c>
      <c r="B8" s="104" t="s">
        <v>319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</row>
    <row r="9" spans="1:19" x14ac:dyDescent="0.25">
      <c r="A9" s="4" t="s">
        <v>18</v>
      </c>
      <c r="B9" s="6"/>
      <c r="C9" s="6" t="s">
        <v>557</v>
      </c>
      <c r="D9" s="44">
        <v>182000000</v>
      </c>
      <c r="E9" s="60">
        <v>182000000</v>
      </c>
      <c r="F9" s="60">
        <v>0</v>
      </c>
      <c r="G9" s="84">
        <f>+F9/E9</f>
        <v>0</v>
      </c>
      <c r="H9" s="44"/>
      <c r="I9" s="44"/>
      <c r="J9" s="44"/>
      <c r="K9" s="44"/>
      <c r="L9" s="44"/>
      <c r="M9" s="44"/>
      <c r="N9" s="44"/>
      <c r="O9" s="44"/>
      <c r="P9" s="44">
        <f t="shared" ref="P9:R10" si="0">+D9+H9+L9</f>
        <v>182000000</v>
      </c>
      <c r="Q9" s="44">
        <f t="shared" si="0"/>
        <v>182000000</v>
      </c>
      <c r="R9" s="44">
        <f t="shared" si="0"/>
        <v>0</v>
      </c>
      <c r="S9" s="84">
        <f>+R9/Q9</f>
        <v>0</v>
      </c>
    </row>
    <row r="10" spans="1:19" x14ac:dyDescent="0.25">
      <c r="A10" s="4" t="s">
        <v>19</v>
      </c>
      <c r="B10" s="6"/>
      <c r="C10" t="s">
        <v>580</v>
      </c>
      <c r="D10" s="60">
        <v>0</v>
      </c>
      <c r="E10" s="44">
        <v>4391442</v>
      </c>
      <c r="F10" s="44">
        <v>3391444</v>
      </c>
      <c r="G10" s="84">
        <f>+F10/E10</f>
        <v>0.7722848212500586</v>
      </c>
      <c r="H10" s="44"/>
      <c r="I10" s="44"/>
      <c r="J10" s="44"/>
      <c r="K10" s="44"/>
      <c r="L10" s="44"/>
      <c r="M10" s="44"/>
      <c r="N10" s="44"/>
      <c r="O10" s="44"/>
      <c r="P10" s="44">
        <f t="shared" si="0"/>
        <v>0</v>
      </c>
      <c r="Q10" s="44">
        <f t="shared" si="0"/>
        <v>4391442</v>
      </c>
      <c r="R10" s="44">
        <f t="shared" si="0"/>
        <v>3391444</v>
      </c>
      <c r="S10" s="84">
        <f>+R10/Q10</f>
        <v>0.7722848212500586</v>
      </c>
    </row>
    <row r="11" spans="1:19" ht="25.5" customHeight="1" x14ac:dyDescent="0.25">
      <c r="A11" s="10" t="s">
        <v>60</v>
      </c>
      <c r="B11" s="102" t="s">
        <v>428</v>
      </c>
      <c r="C11" s="103"/>
      <c r="D11" s="45">
        <f>SUM(D9:D10)</f>
        <v>182000000</v>
      </c>
      <c r="E11" s="45">
        <f>SUM(E9:E10)</f>
        <v>186391442</v>
      </c>
      <c r="F11" s="45">
        <f>SUM(F9:F10)</f>
        <v>3391444</v>
      </c>
      <c r="G11" s="85">
        <f>+F11/E11</f>
        <v>1.8195277441976118E-2</v>
      </c>
      <c r="H11" s="45">
        <f t="shared" ref="H11:Q11" si="1">SUM(H9:H9)</f>
        <v>0</v>
      </c>
      <c r="I11" s="45">
        <f t="shared" si="1"/>
        <v>0</v>
      </c>
      <c r="J11" s="45"/>
      <c r="K11" s="45"/>
      <c r="L11" s="45">
        <f t="shared" si="1"/>
        <v>0</v>
      </c>
      <c r="M11" s="45">
        <f t="shared" si="1"/>
        <v>0</v>
      </c>
      <c r="N11" s="45"/>
      <c r="O11" s="45"/>
      <c r="P11" s="45">
        <f t="shared" si="1"/>
        <v>182000000</v>
      </c>
      <c r="Q11" s="45">
        <f t="shared" si="1"/>
        <v>182000000</v>
      </c>
      <c r="R11" s="45">
        <f>SUM(R9:R10)</f>
        <v>3391444</v>
      </c>
      <c r="S11" s="85">
        <f>+R11/Q11</f>
        <v>1.8634307692307693E-2</v>
      </c>
    </row>
  </sheetData>
  <mergeCells count="18">
    <mergeCell ref="B11:C11"/>
    <mergeCell ref="B8:Q8"/>
    <mergeCell ref="A4:A7"/>
    <mergeCell ref="B5:C7"/>
    <mergeCell ref="D7:E7"/>
    <mergeCell ref="H7:I7"/>
    <mergeCell ref="L7:M7"/>
    <mergeCell ref="P7:Q7"/>
    <mergeCell ref="F6:G7"/>
    <mergeCell ref="D5:G5"/>
    <mergeCell ref="J6:K7"/>
    <mergeCell ref="A1:S1"/>
    <mergeCell ref="A2:S2"/>
    <mergeCell ref="H5:K5"/>
    <mergeCell ref="N6:O7"/>
    <mergeCell ref="L5:O5"/>
    <mergeCell ref="R6:S7"/>
    <mergeCell ref="P5:S5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1. melléklet</vt:lpstr>
      <vt:lpstr>2. melléklet</vt:lpstr>
      <vt:lpstr>3. melléklet</vt:lpstr>
      <vt:lpstr>4. melléklet</vt:lpstr>
      <vt:lpstr>5.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Éva Matolcsi</dc:creator>
  <cp:lastModifiedBy>Julianna Robotka</cp:lastModifiedBy>
  <cp:lastPrinted>2026-09-09T11:10:07Z</cp:lastPrinted>
  <dcterms:created xsi:type="dcterms:W3CDTF">2026-01-05T08:42:06Z</dcterms:created>
  <dcterms:modified xsi:type="dcterms:W3CDTF">2026-09-09T11:10:15Z</dcterms:modified>
</cp:coreProperties>
</file>