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tületi ülések\Testületi ülések 2026\Testületi ülés 2026.02.23\Kiküldendő\"/>
    </mc:Choice>
  </mc:AlternateContent>
  <xr:revisionPtr revIDLastSave="0" documentId="13_ncr:1_{963C0807-03D9-4E01-9E47-C062F64EADB7}" xr6:coauthVersionLast="47" xr6:coauthVersionMax="47" xr10:uidLastSave="{00000000-0000-0000-0000-000000000000}"/>
  <bookViews>
    <workbookView xWindow="-120" yWindow="-120" windowWidth="29040" windowHeight="15840" activeTab="7" xr2:uid="{5F07878D-E99D-45C7-9042-0CFBDB25EF2B}"/>
  </bookViews>
  <sheets>
    <sheet name="1. melléklet" sheetId="2" r:id="rId1"/>
    <sheet name="2. melléklet" sheetId="3" r:id="rId2"/>
    <sheet name="3. melléklet" sheetId="15" r:id="rId3"/>
    <sheet name="4. melléklet" sheetId="14" r:id="rId4"/>
    <sheet name="5. melléklet" sheetId="7" r:id="rId5"/>
    <sheet name="6. melléklet" sheetId="5" r:id="rId6"/>
    <sheet name="7. melléklet" sheetId="6" r:id="rId7"/>
    <sheet name="8. melléklet" sheetId="8" r:id="rId8"/>
    <sheet name="9. melléklet" sheetId="10" r:id="rId9"/>
    <sheet name="10. melléklet" sheetId="11" r:id="rId10"/>
    <sheet name="11. melléklet" sheetId="12" r:id="rId11"/>
    <sheet name="12. melléklet" sheetId="13" r:id="rId12"/>
    <sheet name="13. melléklet" sheetId="16" r:id="rId13"/>
    <sheet name="14. melléklet" sheetId="17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E49" i="14"/>
  <c r="D49" i="14"/>
  <c r="F10" i="3"/>
  <c r="D79" i="3"/>
  <c r="C26" i="13"/>
  <c r="N13" i="13"/>
  <c r="J18" i="5"/>
  <c r="K23" i="13"/>
  <c r="L23" i="13"/>
  <c r="F23" i="13"/>
  <c r="M23" i="13"/>
  <c r="D23" i="13"/>
  <c r="D22" i="13"/>
  <c r="C21" i="13"/>
  <c r="O21" i="13" s="1"/>
  <c r="C20" i="13"/>
  <c r="O20" i="13" s="1"/>
  <c r="C19" i="13"/>
  <c r="O19" i="13" s="1"/>
  <c r="O9" i="13"/>
  <c r="K10" i="13"/>
  <c r="E13" i="13"/>
  <c r="D13" i="13"/>
  <c r="H12" i="13"/>
  <c r="O12" i="13" s="1"/>
  <c r="C9" i="13"/>
  <c r="H8" i="13"/>
  <c r="K8" i="13"/>
  <c r="E8" i="13"/>
  <c r="E22" i="12"/>
  <c r="E18" i="12"/>
  <c r="E17" i="12"/>
  <c r="E16" i="12"/>
  <c r="E15" i="12"/>
  <c r="E14" i="12"/>
  <c r="E11" i="12"/>
  <c r="E10" i="12"/>
  <c r="E9" i="12"/>
  <c r="D22" i="12"/>
  <c r="D18" i="12"/>
  <c r="D17" i="12"/>
  <c r="D16" i="12"/>
  <c r="D15" i="12"/>
  <c r="D14" i="12"/>
  <c r="D11" i="12"/>
  <c r="D10" i="12"/>
  <c r="D9" i="12"/>
  <c r="C30" i="12"/>
  <c r="C16" i="12"/>
  <c r="C15" i="12"/>
  <c r="C14" i="12"/>
  <c r="E38" i="12"/>
  <c r="D38" i="12"/>
  <c r="C9" i="12"/>
  <c r="H29" i="3"/>
  <c r="H16" i="3"/>
  <c r="F29" i="3"/>
  <c r="F16" i="3"/>
  <c r="D29" i="3"/>
  <c r="E35" i="14"/>
  <c r="G35" i="14" s="1"/>
  <c r="D24" i="3"/>
  <c r="D16" i="3"/>
  <c r="D22" i="2"/>
  <c r="K7" i="13"/>
  <c r="F7" i="13"/>
  <c r="O7" i="13" s="1"/>
  <c r="O6" i="13"/>
  <c r="O26" i="13"/>
  <c r="O25" i="13"/>
  <c r="O24" i="13"/>
  <c r="O22" i="13"/>
  <c r="O13" i="13"/>
  <c r="O14" i="13" s="1"/>
  <c r="O11" i="13"/>
  <c r="O10" i="13"/>
  <c r="E33" i="12"/>
  <c r="D33" i="12"/>
  <c r="C33" i="12"/>
  <c r="F8" i="10"/>
  <c r="E8" i="10"/>
  <c r="D8" i="10"/>
  <c r="G8" i="10"/>
  <c r="G10" i="10"/>
  <c r="G13" i="10"/>
  <c r="E9" i="10"/>
  <c r="G9" i="10" s="1"/>
  <c r="F10" i="16"/>
  <c r="F9" i="16"/>
  <c r="F8" i="16"/>
  <c r="F7" i="16"/>
  <c r="F6" i="16"/>
  <c r="F24" i="10"/>
  <c r="E24" i="10"/>
  <c r="D24" i="10"/>
  <c r="F20" i="10"/>
  <c r="E20" i="10"/>
  <c r="D20" i="10"/>
  <c r="F16" i="10"/>
  <c r="E16" i="10"/>
  <c r="D16" i="10"/>
  <c r="G27" i="10"/>
  <c r="G26" i="10"/>
  <c r="G25" i="10"/>
  <c r="G23" i="10"/>
  <c r="G22" i="10"/>
  <c r="G21" i="10"/>
  <c r="G19" i="10"/>
  <c r="G18" i="10"/>
  <c r="G17" i="10"/>
  <c r="G15" i="10"/>
  <c r="G14" i="10"/>
  <c r="F12" i="10"/>
  <c r="E12" i="10"/>
  <c r="D12" i="10"/>
  <c r="E36" i="14"/>
  <c r="E50" i="14"/>
  <c r="E48" i="14"/>
  <c r="F47" i="14"/>
  <c r="E43" i="14"/>
  <c r="E42" i="14"/>
  <c r="K50" i="14"/>
  <c r="K49" i="14"/>
  <c r="K48" i="14"/>
  <c r="K47" i="14"/>
  <c r="K51" i="14" s="1"/>
  <c r="K43" i="14"/>
  <c r="K42" i="14"/>
  <c r="K41" i="14"/>
  <c r="K44" i="14" s="1"/>
  <c r="K38" i="14"/>
  <c r="K37" i="14"/>
  <c r="K36" i="14"/>
  <c r="K35" i="14"/>
  <c r="K39" i="14" s="1"/>
  <c r="K45" i="14" s="1"/>
  <c r="K34" i="14"/>
  <c r="G50" i="14"/>
  <c r="G49" i="14"/>
  <c r="G48" i="14"/>
  <c r="G47" i="14"/>
  <c r="G43" i="14"/>
  <c r="G42" i="14"/>
  <c r="G38" i="14"/>
  <c r="G37" i="14"/>
  <c r="G36" i="14"/>
  <c r="E38" i="14"/>
  <c r="F37" i="14"/>
  <c r="K26" i="14"/>
  <c r="K25" i="14"/>
  <c r="K24" i="14"/>
  <c r="K23" i="14"/>
  <c r="K22" i="14"/>
  <c r="K21" i="14"/>
  <c r="K27" i="14" s="1"/>
  <c r="K17" i="14"/>
  <c r="K16" i="14"/>
  <c r="K15" i="14"/>
  <c r="K18" i="14" s="1"/>
  <c r="K12" i="14"/>
  <c r="K11" i="14"/>
  <c r="K10" i="14"/>
  <c r="K9" i="14"/>
  <c r="K13" i="14" s="1"/>
  <c r="K19" i="14" s="1"/>
  <c r="K28" i="14" s="1"/>
  <c r="G26" i="14"/>
  <c r="G25" i="14"/>
  <c r="G24" i="14"/>
  <c r="G23" i="14"/>
  <c r="G22" i="14"/>
  <c r="G21" i="14"/>
  <c r="G27" i="14" s="1"/>
  <c r="G17" i="14"/>
  <c r="G16" i="14"/>
  <c r="G15" i="14"/>
  <c r="G18" i="14" s="1"/>
  <c r="G12" i="14"/>
  <c r="G11" i="14"/>
  <c r="G10" i="14"/>
  <c r="E26" i="14"/>
  <c r="E25" i="14"/>
  <c r="E24" i="14"/>
  <c r="E23" i="14"/>
  <c r="F22" i="14"/>
  <c r="E21" i="14"/>
  <c r="E17" i="14"/>
  <c r="E16" i="14"/>
  <c r="E15" i="14"/>
  <c r="F12" i="14"/>
  <c r="E11" i="14"/>
  <c r="E10" i="14"/>
  <c r="G130" i="14"/>
  <c r="G129" i="14"/>
  <c r="G128" i="14"/>
  <c r="G127" i="14"/>
  <c r="G126" i="14"/>
  <c r="G125" i="14"/>
  <c r="G131" i="14" s="1"/>
  <c r="G121" i="14"/>
  <c r="G120" i="14"/>
  <c r="G119" i="14"/>
  <c r="G122" i="14" s="1"/>
  <c r="G116" i="14"/>
  <c r="G115" i="14"/>
  <c r="G114" i="14"/>
  <c r="G113" i="14"/>
  <c r="G117" i="14" s="1"/>
  <c r="G123" i="14" s="1"/>
  <c r="G154" i="14"/>
  <c r="G153" i="14"/>
  <c r="G152" i="14"/>
  <c r="G151" i="14"/>
  <c r="G155" i="14" s="1"/>
  <c r="G147" i="14"/>
  <c r="G146" i="14"/>
  <c r="G145" i="14"/>
  <c r="G148" i="14" s="1"/>
  <c r="G142" i="14"/>
  <c r="G141" i="14"/>
  <c r="G140" i="14"/>
  <c r="G139" i="14"/>
  <c r="E147" i="14"/>
  <c r="E146" i="14"/>
  <c r="E145" i="14"/>
  <c r="E142" i="14"/>
  <c r="E141" i="14"/>
  <c r="E140" i="14"/>
  <c r="E139" i="14"/>
  <c r="E130" i="14"/>
  <c r="E128" i="14"/>
  <c r="E127" i="14"/>
  <c r="E126" i="14"/>
  <c r="E125" i="14"/>
  <c r="E121" i="14"/>
  <c r="E120" i="14"/>
  <c r="E119" i="14"/>
  <c r="E116" i="14"/>
  <c r="E115" i="14"/>
  <c r="G102" i="14"/>
  <c r="G101" i="14"/>
  <c r="G100" i="14"/>
  <c r="G99" i="14"/>
  <c r="G95" i="14"/>
  <c r="G94" i="14"/>
  <c r="G90" i="14"/>
  <c r="G89" i="14"/>
  <c r="G88" i="14"/>
  <c r="G87" i="14"/>
  <c r="G78" i="14"/>
  <c r="G76" i="14"/>
  <c r="G75" i="14"/>
  <c r="G74" i="14"/>
  <c r="G73" i="14"/>
  <c r="G69" i="14"/>
  <c r="G68" i="14"/>
  <c r="G67" i="14"/>
  <c r="G64" i="14"/>
  <c r="G63" i="14"/>
  <c r="G62" i="14"/>
  <c r="G61" i="14"/>
  <c r="D75" i="14"/>
  <c r="D102" i="14"/>
  <c r="D101" i="14"/>
  <c r="D100" i="14"/>
  <c r="D99" i="14"/>
  <c r="D95" i="14"/>
  <c r="D94" i="14"/>
  <c r="D90" i="14"/>
  <c r="D89" i="14"/>
  <c r="D88" i="14"/>
  <c r="D87" i="14"/>
  <c r="D63" i="14"/>
  <c r="D49" i="2"/>
  <c r="E17" i="2"/>
  <c r="F17" i="2"/>
  <c r="G17" i="2"/>
  <c r="H17" i="2"/>
  <c r="I17" i="2"/>
  <c r="J17" i="2"/>
  <c r="K17" i="2"/>
  <c r="D68" i="15"/>
  <c r="K120" i="3"/>
  <c r="I120" i="3"/>
  <c r="G120" i="3"/>
  <c r="E120" i="3"/>
  <c r="D58" i="15"/>
  <c r="F79" i="3"/>
  <c r="H79" i="3"/>
  <c r="J32" i="5"/>
  <c r="K31" i="5"/>
  <c r="J31" i="5"/>
  <c r="D15" i="5"/>
  <c r="L34" i="5"/>
  <c r="L25" i="5"/>
  <c r="L10" i="5"/>
  <c r="L16" i="5"/>
  <c r="L21" i="5" s="1"/>
  <c r="D41" i="15"/>
  <c r="D40" i="15"/>
  <c r="D35" i="15"/>
  <c r="D34" i="15"/>
  <c r="D33" i="15"/>
  <c r="O23" i="13" l="1"/>
  <c r="O8" i="13"/>
  <c r="C12" i="12"/>
  <c r="G12" i="10"/>
  <c r="G24" i="10"/>
  <c r="G20" i="10"/>
  <c r="G16" i="10"/>
  <c r="F28" i="10"/>
  <c r="E28" i="10"/>
  <c r="D28" i="10"/>
  <c r="G51" i="14"/>
  <c r="K52" i="14"/>
  <c r="K54" i="14" s="1"/>
  <c r="G132" i="14"/>
  <c r="L35" i="5"/>
  <c r="G28" i="10" l="1"/>
  <c r="D23" i="15"/>
  <c r="E67" i="15"/>
  <c r="D67" i="15"/>
  <c r="D11" i="15"/>
  <c r="J22" i="2"/>
  <c r="J28" i="2"/>
  <c r="D39" i="2"/>
  <c r="D16" i="5"/>
  <c r="J16" i="5" s="1"/>
  <c r="D17" i="5"/>
  <c r="J17" i="5" s="1"/>
  <c r="K20" i="5"/>
  <c r="K19" i="5"/>
  <c r="K17" i="5"/>
  <c r="K16" i="5"/>
  <c r="K15" i="5"/>
  <c r="K14" i="5"/>
  <c r="J20" i="5"/>
  <c r="J19" i="5"/>
  <c r="J15" i="5"/>
  <c r="J14" i="5"/>
  <c r="D16" i="11"/>
  <c r="E9" i="17"/>
  <c r="E18" i="17" s="1"/>
  <c r="K33" i="5"/>
  <c r="K30" i="5"/>
  <c r="K29" i="5"/>
  <c r="K28" i="5"/>
  <c r="K27" i="5"/>
  <c r="K24" i="5"/>
  <c r="K23" i="5"/>
  <c r="K13" i="5"/>
  <c r="K12" i="5"/>
  <c r="K9" i="5"/>
  <c r="J33" i="5"/>
  <c r="J30" i="5"/>
  <c r="J29" i="5"/>
  <c r="J28" i="5"/>
  <c r="J27" i="5"/>
  <c r="J24" i="5"/>
  <c r="J23" i="5"/>
  <c r="J13" i="5"/>
  <c r="J12" i="5"/>
  <c r="J9" i="5"/>
  <c r="J117" i="3"/>
  <c r="J116" i="3"/>
  <c r="J115" i="3"/>
  <c r="J114" i="3"/>
  <c r="J113" i="3"/>
  <c r="J112" i="3"/>
  <c r="J110" i="3"/>
  <c r="J109" i="3"/>
  <c r="J108" i="3"/>
  <c r="J107" i="3"/>
  <c r="J106" i="3"/>
  <c r="J105" i="3"/>
  <c r="K117" i="3"/>
  <c r="K116" i="3"/>
  <c r="K115" i="3"/>
  <c r="K114" i="3"/>
  <c r="K113" i="3"/>
  <c r="K112" i="3"/>
  <c r="K110" i="3"/>
  <c r="K109" i="3"/>
  <c r="K108" i="3"/>
  <c r="K107" i="3"/>
  <c r="K106" i="3"/>
  <c r="K105" i="3"/>
  <c r="K103" i="3"/>
  <c r="K102" i="3"/>
  <c r="K101" i="3"/>
  <c r="J103" i="3"/>
  <c r="J102" i="3"/>
  <c r="J101" i="3"/>
  <c r="K85" i="3"/>
  <c r="I85" i="3"/>
  <c r="H85" i="3"/>
  <c r="G85" i="3"/>
  <c r="F85" i="3"/>
  <c r="E85" i="3"/>
  <c r="J92" i="3"/>
  <c r="J91" i="3"/>
  <c r="J90" i="3"/>
  <c r="J89" i="3"/>
  <c r="J93" i="3" s="1"/>
  <c r="J88" i="3"/>
  <c r="J87" i="3"/>
  <c r="J86" i="3"/>
  <c r="K92" i="3"/>
  <c r="K91" i="3"/>
  <c r="K90" i="3"/>
  <c r="K89" i="3"/>
  <c r="K88" i="3"/>
  <c r="K87" i="3"/>
  <c r="K93" i="3" s="1"/>
  <c r="K86" i="3"/>
  <c r="K84" i="3"/>
  <c r="K83" i="3"/>
  <c r="K82" i="3"/>
  <c r="K81" i="3"/>
  <c r="J84" i="3"/>
  <c r="J83" i="3"/>
  <c r="J82" i="3"/>
  <c r="J81" i="3"/>
  <c r="K79" i="3"/>
  <c r="K78" i="3"/>
  <c r="K77" i="3"/>
  <c r="K76" i="3"/>
  <c r="K75" i="3"/>
  <c r="J79" i="3"/>
  <c r="J78" i="3"/>
  <c r="J77" i="3"/>
  <c r="J76" i="3"/>
  <c r="J75" i="3"/>
  <c r="K73" i="3"/>
  <c r="K72" i="3"/>
  <c r="K71" i="3"/>
  <c r="K70" i="3"/>
  <c r="K69" i="3"/>
  <c r="K68" i="3"/>
  <c r="K67" i="3"/>
  <c r="K66" i="3"/>
  <c r="K65" i="3"/>
  <c r="K64" i="3"/>
  <c r="J73" i="3"/>
  <c r="J72" i="3"/>
  <c r="J71" i="3"/>
  <c r="J70" i="3"/>
  <c r="J69" i="3"/>
  <c r="J68" i="3"/>
  <c r="J67" i="3"/>
  <c r="J66" i="3"/>
  <c r="J65" i="3"/>
  <c r="J64" i="3"/>
  <c r="K62" i="3"/>
  <c r="K61" i="3"/>
  <c r="K60" i="3"/>
  <c r="J62" i="3"/>
  <c r="J63" i="3" s="1"/>
  <c r="J61" i="3"/>
  <c r="J60" i="3"/>
  <c r="K58" i="3"/>
  <c r="K57" i="3"/>
  <c r="J58" i="3"/>
  <c r="J57" i="3"/>
  <c r="K54" i="3"/>
  <c r="K53" i="3"/>
  <c r="K52" i="3"/>
  <c r="K51" i="3"/>
  <c r="K55" i="3" s="1"/>
  <c r="K50" i="3"/>
  <c r="J54" i="3"/>
  <c r="J53" i="3"/>
  <c r="J52" i="3"/>
  <c r="J51" i="3"/>
  <c r="J50" i="3"/>
  <c r="K48" i="3"/>
  <c r="K47" i="3"/>
  <c r="J48" i="3"/>
  <c r="J47" i="3"/>
  <c r="J49" i="3" s="1"/>
  <c r="K45" i="3"/>
  <c r="K44" i="3"/>
  <c r="K43" i="3"/>
  <c r="K42" i="3"/>
  <c r="K41" i="3"/>
  <c r="K40" i="3"/>
  <c r="K39" i="3"/>
  <c r="K38" i="3"/>
  <c r="K46" i="3" s="1"/>
  <c r="K37" i="3"/>
  <c r="J45" i="3"/>
  <c r="J44" i="3"/>
  <c r="J43" i="3"/>
  <c r="J42" i="3"/>
  <c r="J41" i="3"/>
  <c r="J40" i="3"/>
  <c r="J39" i="3"/>
  <c r="J38" i="3"/>
  <c r="J37" i="3"/>
  <c r="K35" i="3"/>
  <c r="K34" i="3"/>
  <c r="J35" i="3"/>
  <c r="J34" i="3"/>
  <c r="K32" i="3"/>
  <c r="K31" i="3"/>
  <c r="K30" i="3"/>
  <c r="K33" i="3" s="1"/>
  <c r="J32" i="3"/>
  <c r="J31" i="3"/>
  <c r="J30" i="3"/>
  <c r="K29" i="3"/>
  <c r="J29" i="3"/>
  <c r="K26" i="3"/>
  <c r="K25" i="3"/>
  <c r="K24" i="3"/>
  <c r="J26" i="3"/>
  <c r="J25" i="3"/>
  <c r="J24" i="3"/>
  <c r="K22" i="3"/>
  <c r="K21" i="3"/>
  <c r="K20" i="3"/>
  <c r="K19" i="3"/>
  <c r="K18" i="3"/>
  <c r="K17" i="3"/>
  <c r="K16" i="3"/>
  <c r="K15" i="3"/>
  <c r="K14" i="3"/>
  <c r="K13" i="3"/>
  <c r="K23" i="3" s="1"/>
  <c r="K28" i="3" s="1"/>
  <c r="K12" i="3"/>
  <c r="K11" i="3"/>
  <c r="K10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94" i="3"/>
  <c r="G94" i="3"/>
  <c r="E94" i="3"/>
  <c r="I93" i="3"/>
  <c r="H93" i="3"/>
  <c r="G93" i="3"/>
  <c r="F93" i="3"/>
  <c r="E93" i="3"/>
  <c r="K80" i="3"/>
  <c r="I80" i="3"/>
  <c r="H80" i="3"/>
  <c r="G80" i="3"/>
  <c r="F80" i="3"/>
  <c r="D93" i="14" s="1"/>
  <c r="G93" i="14" s="1"/>
  <c r="E80" i="3"/>
  <c r="I74" i="3"/>
  <c r="G74" i="3"/>
  <c r="F74" i="3"/>
  <c r="E74" i="3"/>
  <c r="K63" i="3"/>
  <c r="I63" i="3"/>
  <c r="H63" i="3"/>
  <c r="H74" i="3" s="1"/>
  <c r="G63" i="3"/>
  <c r="F63" i="3"/>
  <c r="E63" i="3"/>
  <c r="K59" i="3"/>
  <c r="I59" i="3"/>
  <c r="H59" i="3"/>
  <c r="G59" i="3"/>
  <c r="F59" i="3"/>
  <c r="E59" i="3"/>
  <c r="I56" i="3"/>
  <c r="G56" i="3"/>
  <c r="E56" i="3"/>
  <c r="I55" i="3"/>
  <c r="H55" i="3"/>
  <c r="G55" i="3"/>
  <c r="F55" i="3"/>
  <c r="E55" i="3"/>
  <c r="K49" i="3"/>
  <c r="I49" i="3"/>
  <c r="H49" i="3"/>
  <c r="G49" i="3"/>
  <c r="F49" i="3"/>
  <c r="E49" i="3"/>
  <c r="I46" i="3"/>
  <c r="H46" i="3"/>
  <c r="G46" i="3"/>
  <c r="F46" i="3"/>
  <c r="E46" i="3"/>
  <c r="K36" i="3"/>
  <c r="I36" i="3"/>
  <c r="H36" i="3"/>
  <c r="G36" i="3"/>
  <c r="F36" i="3"/>
  <c r="E36" i="3"/>
  <c r="I33" i="3"/>
  <c r="H33" i="3"/>
  <c r="G33" i="3"/>
  <c r="F33" i="3"/>
  <c r="E33" i="3"/>
  <c r="I28" i="3"/>
  <c r="G28" i="3"/>
  <c r="E28" i="3"/>
  <c r="K27" i="3"/>
  <c r="I27" i="3"/>
  <c r="H27" i="3"/>
  <c r="G27" i="3"/>
  <c r="F27" i="3"/>
  <c r="E27" i="3"/>
  <c r="I23" i="3"/>
  <c r="H23" i="3"/>
  <c r="G23" i="3"/>
  <c r="F23" i="3"/>
  <c r="F28" i="3" s="1"/>
  <c r="D86" i="14" s="1"/>
  <c r="G86" i="14" s="1"/>
  <c r="E23" i="3"/>
  <c r="I53" i="15"/>
  <c r="H53" i="15"/>
  <c r="G53" i="15"/>
  <c r="F53" i="15"/>
  <c r="I51" i="15"/>
  <c r="H51" i="15"/>
  <c r="G51" i="15"/>
  <c r="F51" i="15"/>
  <c r="I50" i="15"/>
  <c r="H50" i="15"/>
  <c r="G50" i="15"/>
  <c r="F50" i="15"/>
  <c r="I44" i="15"/>
  <c r="H44" i="15"/>
  <c r="G44" i="15"/>
  <c r="F44" i="15"/>
  <c r="I43" i="15"/>
  <c r="H43" i="15"/>
  <c r="G43" i="15"/>
  <c r="F43" i="15"/>
  <c r="I38" i="15"/>
  <c r="H38" i="15"/>
  <c r="G38" i="15"/>
  <c r="F38" i="15"/>
  <c r="K89" i="2"/>
  <c r="K88" i="2"/>
  <c r="K87" i="2"/>
  <c r="K86" i="2"/>
  <c r="K90" i="2" s="1"/>
  <c r="K85" i="2"/>
  <c r="K83" i="2"/>
  <c r="K82" i="2"/>
  <c r="K80" i="2"/>
  <c r="K79" i="2"/>
  <c r="K81" i="2" s="1"/>
  <c r="K78" i="2"/>
  <c r="K77" i="2"/>
  <c r="J89" i="2"/>
  <c r="J88" i="2"/>
  <c r="J87" i="2"/>
  <c r="J86" i="2"/>
  <c r="J85" i="2"/>
  <c r="J83" i="2"/>
  <c r="J82" i="2"/>
  <c r="J84" i="2" s="1"/>
  <c r="E23" i="15" s="1"/>
  <c r="J80" i="2"/>
  <c r="J79" i="2"/>
  <c r="J78" i="2"/>
  <c r="J77" i="2"/>
  <c r="J81" i="2" s="1"/>
  <c r="I91" i="2"/>
  <c r="H91" i="2"/>
  <c r="G91" i="2"/>
  <c r="E91" i="2"/>
  <c r="I90" i="2"/>
  <c r="H90" i="2"/>
  <c r="G90" i="2"/>
  <c r="F90" i="2"/>
  <c r="E90" i="2"/>
  <c r="K84" i="2"/>
  <c r="I84" i="2"/>
  <c r="H84" i="2"/>
  <c r="G84" i="2"/>
  <c r="F84" i="2"/>
  <c r="F91" i="2" s="1"/>
  <c r="E84" i="2"/>
  <c r="I81" i="2"/>
  <c r="H81" i="2"/>
  <c r="G81" i="2"/>
  <c r="F81" i="2"/>
  <c r="E81" i="2"/>
  <c r="K76" i="2"/>
  <c r="J76" i="2"/>
  <c r="I76" i="2"/>
  <c r="H76" i="2"/>
  <c r="G76" i="2"/>
  <c r="F76" i="2"/>
  <c r="E76" i="2"/>
  <c r="K75" i="2"/>
  <c r="K74" i="2"/>
  <c r="K73" i="2"/>
  <c r="J75" i="2"/>
  <c r="J74" i="2"/>
  <c r="J73" i="2"/>
  <c r="K64" i="2"/>
  <c r="K63" i="2"/>
  <c r="K62" i="2"/>
  <c r="K61" i="2"/>
  <c r="K60" i="2"/>
  <c r="J64" i="2"/>
  <c r="J63" i="2"/>
  <c r="J62" i="2"/>
  <c r="J61" i="2"/>
  <c r="J60" i="2"/>
  <c r="K58" i="2"/>
  <c r="K57" i="2"/>
  <c r="K56" i="2"/>
  <c r="K55" i="2"/>
  <c r="K54" i="2"/>
  <c r="J58" i="2"/>
  <c r="J57" i="2"/>
  <c r="J56" i="2"/>
  <c r="J55" i="2"/>
  <c r="J54" i="2"/>
  <c r="K52" i="2"/>
  <c r="K51" i="2"/>
  <c r="K50" i="2"/>
  <c r="K49" i="2"/>
  <c r="K48" i="2"/>
  <c r="J52" i="2"/>
  <c r="J51" i="2"/>
  <c r="J50" i="2"/>
  <c r="J49" i="2"/>
  <c r="J48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K32" i="2"/>
  <c r="K31" i="2"/>
  <c r="K30" i="2"/>
  <c r="J32" i="2"/>
  <c r="J31" i="2"/>
  <c r="J30" i="2"/>
  <c r="K28" i="2"/>
  <c r="K27" i="2"/>
  <c r="K26" i="2"/>
  <c r="K25" i="2"/>
  <c r="K24" i="2"/>
  <c r="J27" i="2"/>
  <c r="J26" i="2"/>
  <c r="J25" i="2"/>
  <c r="J24" i="2"/>
  <c r="K22" i="2"/>
  <c r="K21" i="2"/>
  <c r="K20" i="2"/>
  <c r="K19" i="2"/>
  <c r="K18" i="2"/>
  <c r="J21" i="2"/>
  <c r="J20" i="2"/>
  <c r="J19" i="2"/>
  <c r="J18" i="2"/>
  <c r="K16" i="2"/>
  <c r="K15" i="2"/>
  <c r="K14" i="2"/>
  <c r="K13" i="2"/>
  <c r="K12" i="2"/>
  <c r="K11" i="2"/>
  <c r="J16" i="2"/>
  <c r="J15" i="2"/>
  <c r="J14" i="2"/>
  <c r="J13" i="2"/>
  <c r="J12" i="2"/>
  <c r="J11" i="2"/>
  <c r="K10" i="2"/>
  <c r="J10" i="2"/>
  <c r="D44" i="2"/>
  <c r="F11" i="16"/>
  <c r="E11" i="16"/>
  <c r="D11" i="16"/>
  <c r="C11" i="16"/>
  <c r="N27" i="13"/>
  <c r="M27" i="13"/>
  <c r="L27" i="13"/>
  <c r="K27" i="13"/>
  <c r="J27" i="13"/>
  <c r="I27" i="13"/>
  <c r="H27" i="13"/>
  <c r="G27" i="13"/>
  <c r="F27" i="13"/>
  <c r="E27" i="13"/>
  <c r="D27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C51" i="8"/>
  <c r="C35" i="8"/>
  <c r="F17" i="8"/>
  <c r="E17" i="8"/>
  <c r="D17" i="8"/>
  <c r="C17" i="8"/>
  <c r="K10" i="6"/>
  <c r="J10" i="6"/>
  <c r="I10" i="6"/>
  <c r="H10" i="6"/>
  <c r="G10" i="6"/>
  <c r="F10" i="6"/>
  <c r="E10" i="6"/>
  <c r="E33" i="17"/>
  <c r="D33" i="17"/>
  <c r="D18" i="17"/>
  <c r="G9" i="7"/>
  <c r="F9" i="7"/>
  <c r="E9" i="7"/>
  <c r="D9" i="7"/>
  <c r="C9" i="7"/>
  <c r="J85" i="3" l="1"/>
  <c r="H28" i="3"/>
  <c r="E138" i="14" s="1"/>
  <c r="G138" i="14" s="1"/>
  <c r="G143" i="14" s="1"/>
  <c r="G149" i="14" s="1"/>
  <c r="G156" i="14" s="1"/>
  <c r="G158" i="14" s="1"/>
  <c r="J27" i="3"/>
  <c r="J33" i="3"/>
  <c r="J90" i="2"/>
  <c r="J80" i="3"/>
  <c r="E40" i="15" s="1"/>
  <c r="J23" i="3"/>
  <c r="F56" i="3"/>
  <c r="F94" i="3" s="1"/>
  <c r="F120" i="3" s="1"/>
  <c r="J36" i="3"/>
  <c r="J59" i="3"/>
  <c r="E36" i="15" s="1"/>
  <c r="J55" i="3"/>
  <c r="J46" i="3"/>
  <c r="H56" i="3"/>
  <c r="K74" i="3"/>
  <c r="J74" i="3"/>
  <c r="E37" i="15" s="1"/>
  <c r="K56" i="3"/>
  <c r="K94" i="3"/>
  <c r="K91" i="2"/>
  <c r="J91" i="2"/>
  <c r="K155" i="14"/>
  <c r="J155" i="14"/>
  <c r="I155" i="14"/>
  <c r="H155" i="14"/>
  <c r="F155" i="14"/>
  <c r="E155" i="14"/>
  <c r="D155" i="14"/>
  <c r="I149" i="14"/>
  <c r="K148" i="14"/>
  <c r="K149" i="14" s="1"/>
  <c r="J148" i="14"/>
  <c r="I148" i="14"/>
  <c r="H148" i="14"/>
  <c r="F148" i="14"/>
  <c r="E148" i="14"/>
  <c r="K143" i="14"/>
  <c r="J143" i="14"/>
  <c r="I143" i="14"/>
  <c r="H143" i="14"/>
  <c r="F143" i="14"/>
  <c r="F149" i="14" s="1"/>
  <c r="F156" i="14" s="1"/>
  <c r="K131" i="14"/>
  <c r="J131" i="14"/>
  <c r="I131" i="14"/>
  <c r="H131" i="14"/>
  <c r="F131" i="14"/>
  <c r="E131" i="14"/>
  <c r="K123" i="14"/>
  <c r="K132" i="14" s="1"/>
  <c r="K122" i="14"/>
  <c r="J122" i="14"/>
  <c r="I122" i="14"/>
  <c r="H122" i="14"/>
  <c r="F122" i="14"/>
  <c r="E122" i="14"/>
  <c r="K117" i="14"/>
  <c r="J117" i="14"/>
  <c r="J123" i="14" s="1"/>
  <c r="J132" i="14" s="1"/>
  <c r="I117" i="14"/>
  <c r="I123" i="14" s="1"/>
  <c r="I132" i="14" s="1"/>
  <c r="H117" i="14"/>
  <c r="H123" i="14" s="1"/>
  <c r="H132" i="14" s="1"/>
  <c r="F117" i="14"/>
  <c r="F123" i="14" s="1"/>
  <c r="F132" i="14" s="1"/>
  <c r="E117" i="14"/>
  <c r="K103" i="14"/>
  <c r="J103" i="14"/>
  <c r="I103" i="14"/>
  <c r="H103" i="14"/>
  <c r="G103" i="14"/>
  <c r="F103" i="14"/>
  <c r="E103" i="14"/>
  <c r="K96" i="14"/>
  <c r="J96" i="14"/>
  <c r="I96" i="14"/>
  <c r="H96" i="14"/>
  <c r="G96" i="14"/>
  <c r="F96" i="14"/>
  <c r="E96" i="14"/>
  <c r="K91" i="14"/>
  <c r="K97" i="14" s="1"/>
  <c r="J91" i="14"/>
  <c r="I91" i="14"/>
  <c r="H91" i="14"/>
  <c r="G91" i="14"/>
  <c r="F91" i="14"/>
  <c r="E91" i="14"/>
  <c r="K79" i="14"/>
  <c r="J79" i="14"/>
  <c r="I79" i="14"/>
  <c r="H79" i="14"/>
  <c r="F79" i="14"/>
  <c r="E79" i="14"/>
  <c r="K71" i="14"/>
  <c r="K80" i="14" s="1"/>
  <c r="K70" i="14"/>
  <c r="J70" i="14"/>
  <c r="I70" i="14"/>
  <c r="H70" i="14"/>
  <c r="G70" i="14"/>
  <c r="F70" i="14"/>
  <c r="E70" i="14"/>
  <c r="K65" i="14"/>
  <c r="J65" i="14"/>
  <c r="J71" i="14" s="1"/>
  <c r="J80" i="14" s="1"/>
  <c r="I65" i="14"/>
  <c r="I71" i="14" s="1"/>
  <c r="I80" i="14" s="1"/>
  <c r="H65" i="14"/>
  <c r="H71" i="14" s="1"/>
  <c r="H80" i="14" s="1"/>
  <c r="G65" i="14"/>
  <c r="F65" i="14"/>
  <c r="F71" i="14" s="1"/>
  <c r="F80" i="14" s="1"/>
  <c r="E65" i="14"/>
  <c r="E71" i="14" s="1"/>
  <c r="E80" i="14" s="1"/>
  <c r="D131" i="14"/>
  <c r="D122" i="14"/>
  <c r="D117" i="14"/>
  <c r="D123" i="14" s="1"/>
  <c r="D132" i="14" s="1"/>
  <c r="D148" i="14"/>
  <c r="D143" i="14"/>
  <c r="D103" i="14"/>
  <c r="D96" i="14"/>
  <c r="D91" i="14"/>
  <c r="D70" i="14"/>
  <c r="D65" i="14"/>
  <c r="D71" i="14" s="1"/>
  <c r="J51" i="14"/>
  <c r="I51" i="14"/>
  <c r="H51" i="14"/>
  <c r="F51" i="14"/>
  <c r="E51" i="14"/>
  <c r="J44" i="14"/>
  <c r="I44" i="14"/>
  <c r="H44" i="14"/>
  <c r="F44" i="14"/>
  <c r="J39" i="14"/>
  <c r="I39" i="14"/>
  <c r="I45" i="14" s="1"/>
  <c r="I52" i="14" s="1"/>
  <c r="H39" i="14"/>
  <c r="H45" i="14" s="1"/>
  <c r="F39" i="14"/>
  <c r="J27" i="14"/>
  <c r="I27" i="14"/>
  <c r="H27" i="14"/>
  <c r="F27" i="14"/>
  <c r="E27" i="14"/>
  <c r="H19" i="14"/>
  <c r="H28" i="14" s="1"/>
  <c r="J18" i="14"/>
  <c r="I18" i="14"/>
  <c r="H18" i="14"/>
  <c r="F18" i="14"/>
  <c r="E18" i="14"/>
  <c r="J13" i="14"/>
  <c r="J19" i="14" s="1"/>
  <c r="J28" i="14" s="1"/>
  <c r="I13" i="14"/>
  <c r="I19" i="14" s="1"/>
  <c r="I28" i="14" s="1"/>
  <c r="H13" i="14"/>
  <c r="F13" i="14"/>
  <c r="F19" i="14" s="1"/>
  <c r="D51" i="14"/>
  <c r="D44" i="14"/>
  <c r="D39" i="14"/>
  <c r="D45" i="14" s="1"/>
  <c r="D27" i="14"/>
  <c r="D18" i="14"/>
  <c r="D13" i="14"/>
  <c r="D19" i="14" s="1"/>
  <c r="D28" i="14" s="1"/>
  <c r="E49" i="15"/>
  <c r="E48" i="15"/>
  <c r="E47" i="15"/>
  <c r="E42" i="15"/>
  <c r="E41" i="15"/>
  <c r="E34" i="15"/>
  <c r="E24" i="15"/>
  <c r="E26" i="15"/>
  <c r="E25" i="15"/>
  <c r="E22" i="15"/>
  <c r="E21" i="15"/>
  <c r="I27" i="15"/>
  <c r="H27" i="15"/>
  <c r="G27" i="15"/>
  <c r="F27" i="15"/>
  <c r="I18" i="15"/>
  <c r="H18" i="15"/>
  <c r="G18" i="15"/>
  <c r="F18" i="15"/>
  <c r="I13" i="15"/>
  <c r="I19" i="15" s="1"/>
  <c r="I28" i="15" s="1"/>
  <c r="H13" i="15"/>
  <c r="G13" i="15"/>
  <c r="G19" i="15" s="1"/>
  <c r="G28" i="15" s="1"/>
  <c r="F13" i="15"/>
  <c r="D27" i="15"/>
  <c r="D66" i="15" s="1"/>
  <c r="D50" i="15"/>
  <c r="D43" i="15"/>
  <c r="D61" i="15" s="1"/>
  <c r="D38" i="15"/>
  <c r="K111" i="3"/>
  <c r="J111" i="3"/>
  <c r="E46" i="15" s="1"/>
  <c r="I111" i="3"/>
  <c r="H111" i="3"/>
  <c r="G111" i="3"/>
  <c r="F111" i="3"/>
  <c r="E111" i="3"/>
  <c r="D111" i="3"/>
  <c r="K104" i="3"/>
  <c r="J104" i="3"/>
  <c r="I104" i="3"/>
  <c r="I118" i="3" s="1"/>
  <c r="H104" i="3"/>
  <c r="H118" i="3" s="1"/>
  <c r="G104" i="3"/>
  <c r="G118" i="3" s="1"/>
  <c r="F104" i="3"/>
  <c r="F118" i="3" s="1"/>
  <c r="E104" i="3"/>
  <c r="E118" i="3" s="1"/>
  <c r="D104" i="3"/>
  <c r="D118" i="3" s="1"/>
  <c r="E143" i="14" l="1"/>
  <c r="D52" i="14"/>
  <c r="D54" i="14" s="1"/>
  <c r="G97" i="14"/>
  <c r="F28" i="14"/>
  <c r="E149" i="14"/>
  <c r="E123" i="14"/>
  <c r="E132" i="14" s="1"/>
  <c r="G71" i="14"/>
  <c r="D97" i="14"/>
  <c r="J28" i="3"/>
  <c r="H94" i="3"/>
  <c r="H120" i="3" s="1"/>
  <c r="J56" i="3"/>
  <c r="E35" i="15" s="1"/>
  <c r="J118" i="3"/>
  <c r="K118" i="3"/>
  <c r="K156" i="14"/>
  <c r="H54" i="14"/>
  <c r="J106" i="14"/>
  <c r="F158" i="14"/>
  <c r="I54" i="14"/>
  <c r="H52" i="14"/>
  <c r="K106" i="14"/>
  <c r="K158" i="14"/>
  <c r="E156" i="14"/>
  <c r="F45" i="14"/>
  <c r="F52" i="14" s="1"/>
  <c r="F54" i="14" s="1"/>
  <c r="J45" i="14"/>
  <c r="J52" i="14" s="1"/>
  <c r="J54" i="14" s="1"/>
  <c r="D149" i="14"/>
  <c r="F97" i="14"/>
  <c r="J97" i="14"/>
  <c r="I156" i="14"/>
  <c r="I158" i="14" s="1"/>
  <c r="F104" i="14"/>
  <c r="F106" i="14" s="1"/>
  <c r="J104" i="14"/>
  <c r="H97" i="14"/>
  <c r="G104" i="14"/>
  <c r="K104" i="14"/>
  <c r="H149" i="14"/>
  <c r="J149" i="14"/>
  <c r="J156" i="14" s="1"/>
  <c r="J158" i="14" s="1"/>
  <c r="E97" i="14"/>
  <c r="I97" i="14"/>
  <c r="D44" i="15"/>
  <c r="E43" i="15"/>
  <c r="E61" i="15" s="1"/>
  <c r="H19" i="15"/>
  <c r="H28" i="15" s="1"/>
  <c r="F19" i="15"/>
  <c r="F28" i="15" s="1"/>
  <c r="E50" i="15"/>
  <c r="D156" i="14"/>
  <c r="D158" i="14" s="1"/>
  <c r="D104" i="14"/>
  <c r="E27" i="15"/>
  <c r="E66" i="15" s="1"/>
  <c r="E68" i="15" s="1"/>
  <c r="D18" i="15"/>
  <c r="D60" i="15" s="1"/>
  <c r="D13" i="15"/>
  <c r="D57" i="15" s="1"/>
  <c r="D90" i="2"/>
  <c r="D84" i="2"/>
  <c r="D81" i="2"/>
  <c r="D76" i="2"/>
  <c r="E158" i="14" l="1"/>
  <c r="E33" i="15"/>
  <c r="E38" i="15" s="1"/>
  <c r="E58" i="15" s="1"/>
  <c r="C18" i="13"/>
  <c r="J94" i="3"/>
  <c r="J120" i="3" s="1"/>
  <c r="D51" i="15"/>
  <c r="I104" i="14"/>
  <c r="I106" i="14" s="1"/>
  <c r="H156" i="14"/>
  <c r="H158" i="14" s="1"/>
  <c r="E104" i="14"/>
  <c r="E106" i="14" s="1"/>
  <c r="H104" i="14"/>
  <c r="H106" i="14" s="1"/>
  <c r="D19" i="15"/>
  <c r="D28" i="15" s="1"/>
  <c r="D53" i="15" s="1"/>
  <c r="D91" i="2"/>
  <c r="O18" i="13" l="1"/>
  <c r="O27" i="13" s="1"/>
  <c r="C27" i="13"/>
  <c r="E44" i="15"/>
  <c r="G67" i="15" s="1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E31" i="12"/>
  <c r="E36" i="12" s="1"/>
  <c r="E39" i="12" s="1"/>
  <c r="D31" i="12"/>
  <c r="D36" i="12" s="1"/>
  <c r="D39" i="12" s="1"/>
  <c r="C31" i="12"/>
  <c r="C36" i="12" s="1"/>
  <c r="C39" i="12" s="1"/>
  <c r="E12" i="12"/>
  <c r="E21" i="12" s="1"/>
  <c r="E23" i="12" s="1"/>
  <c r="D12" i="12"/>
  <c r="D21" i="12" s="1"/>
  <c r="D23" i="12" s="1"/>
  <c r="C21" i="12"/>
  <c r="C23" i="12" s="1"/>
  <c r="D10" i="6"/>
  <c r="K34" i="5"/>
  <c r="J34" i="5"/>
  <c r="I34" i="5"/>
  <c r="H34" i="5"/>
  <c r="G34" i="5"/>
  <c r="F34" i="5"/>
  <c r="E34" i="5"/>
  <c r="K25" i="5"/>
  <c r="J25" i="5"/>
  <c r="I25" i="5"/>
  <c r="H25" i="5"/>
  <c r="G25" i="5"/>
  <c r="F25" i="5"/>
  <c r="E25" i="5"/>
  <c r="K21" i="5"/>
  <c r="J21" i="5"/>
  <c r="I21" i="5"/>
  <c r="H21" i="5"/>
  <c r="G21" i="5"/>
  <c r="F21" i="5"/>
  <c r="E21" i="5"/>
  <c r="K10" i="5"/>
  <c r="J10" i="5"/>
  <c r="I10" i="5"/>
  <c r="H10" i="5"/>
  <c r="G10" i="5"/>
  <c r="F10" i="5"/>
  <c r="E10" i="5"/>
  <c r="D34" i="5"/>
  <c r="D25" i="5"/>
  <c r="D21" i="5"/>
  <c r="D10" i="5"/>
  <c r="D93" i="3"/>
  <c r="D85" i="3"/>
  <c r="D80" i="3"/>
  <c r="E41" i="14" s="1"/>
  <c r="D63" i="3"/>
  <c r="D74" i="3" s="1"/>
  <c r="D59" i="3"/>
  <c r="D55" i="3"/>
  <c r="D49" i="3"/>
  <c r="D46" i="3"/>
  <c r="D36" i="3"/>
  <c r="D33" i="3"/>
  <c r="D27" i="3"/>
  <c r="D23" i="3"/>
  <c r="K65" i="2"/>
  <c r="J65" i="2"/>
  <c r="E17" i="15" s="1"/>
  <c r="I65" i="2"/>
  <c r="H65" i="2"/>
  <c r="G65" i="2"/>
  <c r="F65" i="2"/>
  <c r="E65" i="2"/>
  <c r="K59" i="2"/>
  <c r="J59" i="2"/>
  <c r="E12" i="15" s="1"/>
  <c r="I59" i="2"/>
  <c r="H59" i="2"/>
  <c r="G59" i="2"/>
  <c r="F59" i="2"/>
  <c r="E59" i="2"/>
  <c r="K53" i="2"/>
  <c r="J53" i="2"/>
  <c r="E16" i="15" s="1"/>
  <c r="I53" i="2"/>
  <c r="H53" i="2"/>
  <c r="G53" i="2"/>
  <c r="F53" i="2"/>
  <c r="E53" i="2"/>
  <c r="K47" i="2"/>
  <c r="J47" i="2"/>
  <c r="E11" i="15" s="1"/>
  <c r="I47" i="2"/>
  <c r="H47" i="2"/>
  <c r="G47" i="2"/>
  <c r="F47" i="2"/>
  <c r="E47" i="2"/>
  <c r="K33" i="2"/>
  <c r="J33" i="2"/>
  <c r="E10" i="15" s="1"/>
  <c r="I33" i="2"/>
  <c r="H33" i="2"/>
  <c r="G33" i="2"/>
  <c r="F33" i="2"/>
  <c r="E33" i="2"/>
  <c r="K29" i="2"/>
  <c r="J29" i="2"/>
  <c r="I29" i="2"/>
  <c r="H29" i="2"/>
  <c r="G29" i="2"/>
  <c r="F29" i="2"/>
  <c r="E29" i="2"/>
  <c r="K23" i="2"/>
  <c r="J23" i="2"/>
  <c r="I23" i="2"/>
  <c r="H23" i="2"/>
  <c r="G23" i="2"/>
  <c r="F23" i="2"/>
  <c r="E23" i="2"/>
  <c r="E8" i="15"/>
  <c r="D65" i="2"/>
  <c r="D59" i="2"/>
  <c r="D53" i="2"/>
  <c r="D47" i="2"/>
  <c r="D33" i="2"/>
  <c r="D29" i="2"/>
  <c r="D23" i="2"/>
  <c r="E9" i="14" s="1"/>
  <c r="D17" i="2"/>
  <c r="G41" i="14" l="1"/>
  <c r="G44" i="14" s="1"/>
  <c r="E44" i="14"/>
  <c r="G9" i="14"/>
  <c r="G13" i="14" s="1"/>
  <c r="G19" i="14" s="1"/>
  <c r="G28" i="14" s="1"/>
  <c r="E13" i="14"/>
  <c r="E19" i="14" s="1"/>
  <c r="E28" i="14" s="1"/>
  <c r="E51" i="15"/>
  <c r="D28" i="3"/>
  <c r="E15" i="15"/>
  <c r="E18" i="15" s="1"/>
  <c r="E9" i="15"/>
  <c r="E13" i="15" s="1"/>
  <c r="E35" i="5"/>
  <c r="H35" i="5"/>
  <c r="G35" i="5"/>
  <c r="D56" i="3"/>
  <c r="D94" i="3" s="1"/>
  <c r="D120" i="3" s="1"/>
  <c r="D35" i="5"/>
  <c r="F35" i="5"/>
  <c r="I35" i="5"/>
  <c r="K35" i="5"/>
  <c r="J35" i="5"/>
  <c r="I66" i="2"/>
  <c r="I93" i="2" s="1"/>
  <c r="E66" i="2"/>
  <c r="E93" i="2" s="1"/>
  <c r="D66" i="2"/>
  <c r="D93" i="2" s="1"/>
  <c r="J66" i="2"/>
  <c r="J93" i="2" s="1"/>
  <c r="G66" i="2"/>
  <c r="G93" i="2" s="1"/>
  <c r="K66" i="2"/>
  <c r="K93" i="2" s="1"/>
  <c r="F66" i="2"/>
  <c r="F93" i="2" s="1"/>
  <c r="H66" i="2"/>
  <c r="H93" i="2" s="1"/>
  <c r="E34" i="14" l="1"/>
  <c r="D59" i="15"/>
  <c r="E57" i="15"/>
  <c r="D62" i="15"/>
  <c r="E60" i="15"/>
  <c r="E62" i="15" s="1"/>
  <c r="E19" i="15"/>
  <c r="E28" i="15" s="1"/>
  <c r="E53" i="15" s="1"/>
  <c r="G34" i="14" l="1"/>
  <c r="G39" i="14" s="1"/>
  <c r="G45" i="14" s="1"/>
  <c r="G52" i="14" s="1"/>
  <c r="G54" i="14" s="1"/>
  <c r="E39" i="14"/>
  <c r="E45" i="14" s="1"/>
  <c r="E52" i="14" s="1"/>
  <c r="E54" i="14" s="1"/>
  <c r="E59" i="15"/>
  <c r="E64" i="15" s="1"/>
  <c r="E70" i="15" s="1"/>
  <c r="G66" i="15"/>
  <c r="G68" i="15" s="1"/>
  <c r="D64" i="15"/>
  <c r="D70" i="15" l="1"/>
  <c r="D79" i="14"/>
  <c r="D80" i="14" s="1"/>
  <c r="D106" i="14" s="1"/>
  <c r="G77" i="14"/>
  <c r="G79" i="14" s="1"/>
  <c r="G80" i="14" s="1"/>
  <c r="G10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D15" authorId="0" shapeId="0" xr:uid="{E72DC0F1-F2A7-4A76-BA36-9A36D54DC85E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Szociális tűzifa támogatás</t>
        </r>
      </text>
    </comment>
    <comment ref="D22" authorId="0" shapeId="0" xr:uid="{5F002992-6C82-428C-AC67-434FA9962FF9}">
      <text>
        <r>
          <rPr>
            <b/>
            <sz val="9"/>
            <color indexed="81"/>
            <rFont val="Tahoma"/>
            <family val="2"/>
            <charset val="238"/>
          </rPr>
          <t xml:space="preserve">Krisztina Ferencz:
</t>
        </r>
        <r>
          <rPr>
            <sz val="9"/>
            <color indexed="81"/>
            <rFont val="Tahoma"/>
            <family val="2"/>
            <charset val="238"/>
          </rPr>
          <t xml:space="preserve">NEAK
Felelős állattartás
VJP2
Otthontámogatás
</t>
        </r>
      </text>
    </comment>
    <comment ref="D28" authorId="0" shapeId="0" xr:uid="{5CBF2260-15E7-4D52-B8DD-5386273050C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
Látogatóközpont</t>
        </r>
      </text>
    </comment>
    <comment ref="D57" authorId="0" shapeId="0" xr:uid="{B3FC984E-B372-4BCC-BEFD-97196ABE89D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Dunamente és Térsége Egyesület</t>
        </r>
      </text>
    </comment>
    <comment ref="D64" authorId="0" shapeId="0" xr:uid="{6BA15EC8-1BF1-4481-969E-026C5C6D37D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Interreg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F54" authorId="0" shapeId="0" xr:uid="{7146E52F-084C-4FAF-A06B-AAB57C19FA73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tb-cst kerekítési különbözet</t>
        </r>
      </text>
    </comment>
    <comment ref="D67" authorId="0" shapeId="0" xr:uid="{AC0FF28B-8B60-4FE2-9786-9EC93A6E836D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DTKT
Fogászati ügyelet
Családsegítő szolg.
Bursa 
Miksic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Krisztina Ferencz</author>
  </authors>
  <commentList>
    <comment ref="F7" authorId="0" shapeId="0" xr:uid="{7E1FC547-E79B-4426-B5A5-90378E95E6B1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
Látogatóközpont</t>
        </r>
      </text>
    </comment>
    <comment ref="K7" authorId="0" shapeId="0" xr:uid="{F5B1BEF9-7870-4760-9976-857BFDB92B8C}">
      <text>
        <r>
          <rPr>
            <b/>
            <sz val="9"/>
            <color indexed="81"/>
            <rFont val="Tahoma"/>
            <family val="2"/>
            <charset val="238"/>
          </rPr>
          <t>Krisztina Ferencz:</t>
        </r>
        <r>
          <rPr>
            <sz val="9"/>
            <color indexed="81"/>
            <rFont val="Tahoma"/>
            <family val="2"/>
            <charset val="238"/>
          </rPr>
          <t xml:space="preserve">
Kerékpárút
Csapadékvíz
Közvilágítás
Látogatóközpont</t>
        </r>
      </text>
    </comment>
  </commentList>
</comments>
</file>

<file path=xl/sharedStrings.xml><?xml version="1.0" encoding="utf-8"?>
<sst xmlns="http://schemas.openxmlformats.org/spreadsheetml/2006/main" count="1671" uniqueCount="751">
  <si>
    <t>Sorszám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</si>
  <si>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</si>
  <si>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</si>
  <si>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</si>
  <si>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</si>
  <si>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</si>
  <si>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</si>
  <si>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</si>
  <si>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</si>
  <si>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</si>
  <si>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Megnevezés</t>
  </si>
  <si>
    <t>Eredeti</t>
  </si>
  <si>
    <t>Módosított</t>
  </si>
  <si>
    <t>Előirányzat</t>
  </si>
  <si>
    <t>Tokodi Mesevár Óvoda- Bölcsőde és Mini-bölcsőde</t>
  </si>
  <si>
    <t>Tokodi Polgármesteri Hivatal</t>
  </si>
  <si>
    <t>Tokod Nagyközség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</si>
  <si>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</si>
  <si>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</si>
  <si>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</si>
  <si>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</si>
  <si>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</si>
  <si>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</si>
  <si>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</si>
  <si>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</si>
  <si>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</si>
  <si>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</si>
  <si>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</si>
  <si>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</si>
  <si>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</si>
  <si>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</si>
  <si>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</si>
  <si>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</si>
  <si>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</si>
  <si>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</si>
  <si>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</si>
  <si>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</si>
  <si>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</si>
  <si>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</si>
  <si>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</si>
  <si>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</si>
  <si>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</si>
  <si>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</si>
  <si>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Az Önkormányzat és intézményei összesen</t>
  </si>
  <si>
    <t>Működési bevételek</t>
  </si>
  <si>
    <t>Önkormányzat működési támogatásai</t>
  </si>
  <si>
    <t>Működési célú átvett pénzeszközök</t>
  </si>
  <si>
    <t>Közhatalmi bevételek</t>
  </si>
  <si>
    <t>Befektetési célú belföldi értékpapírok beváltása, értékesítése</t>
  </si>
  <si>
    <t>Személyi juttatások</t>
  </si>
  <si>
    <t>Munkaadókat terhelő járulékok és szociális hozzájárulási adó</t>
  </si>
  <si>
    <t>Ellátottak pénzbeli juttatásai</t>
  </si>
  <si>
    <t>Beruházási kiadások</t>
  </si>
  <si>
    <t>Felújítási kiadások</t>
  </si>
  <si>
    <t>Egyéb felhalmozási kiadások</t>
  </si>
  <si>
    <t>FINANSZÍROZÁSI KIADÁSOK</t>
  </si>
  <si>
    <t>FINANSZÍROZÁSI BEVÉTELEK</t>
  </si>
  <si>
    <t>TOKOD NAGYKÖZSÉG ÖNKORMÁNYZATÁNAK 2026. ÉVI KÖLTSÉGVETÉSE</t>
  </si>
  <si>
    <t>Rovat száma</t>
  </si>
  <si>
    <t>J.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</si>
  <si>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</si>
  <si>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</si>
  <si>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</si>
  <si>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</si>
  <si>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</si>
  <si>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</si>
  <si>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</si>
  <si>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</si>
  <si>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</si>
  <si>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</si>
  <si>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</si>
  <si>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</si>
  <si>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</si>
  <si>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</si>
  <si>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</si>
  <si>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</si>
  <si>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</si>
  <si>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</si>
  <si>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</si>
  <si>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</si>
  <si>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</si>
  <si>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</si>
  <si>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</si>
  <si>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</si>
  <si>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</si>
  <si>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</si>
  <si>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</si>
  <si>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</si>
  <si>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</si>
  <si>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</si>
  <si>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</si>
  <si>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</si>
  <si>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</si>
  <si>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</si>
  <si>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</si>
  <si>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</si>
  <si>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</si>
  <si>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</si>
  <si>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</si>
  <si>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</si>
  <si>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</si>
  <si>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</si>
  <si>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</si>
  <si>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</si>
  <si>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</si>
  <si>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</si>
  <si>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Vagyoni tipusú adók</t>
  </si>
  <si>
    <t>Értékesítési és forgalmi adók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</si>
  <si>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</si>
  <si>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</si>
  <si>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</si>
  <si>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</si>
  <si>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</si>
  <si>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</si>
  <si>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</si>
  <si>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</si>
  <si>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Befektetett pénzügyi eszközökből származó bevételek</t>
  </si>
  <si>
    <t>Egyéb kapott (járó) kamatok és kamatjellegű bevételek</t>
  </si>
  <si>
    <t>Részesedésekből származó pénzügyi műveletek bevételei</t>
  </si>
  <si>
    <t>Más egyéb pénzügyi műveletek bevételei</t>
  </si>
  <si>
    <t>Biztosító által fizetett kártérítés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</si>
  <si>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</si>
  <si>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</si>
  <si>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</si>
  <si>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</si>
  <si>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</si>
  <si>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</si>
  <si>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</si>
  <si>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</si>
  <si>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Egyéb működési célú átvett pénzeszközök</t>
  </si>
  <si>
    <t>B111</t>
  </si>
  <si>
    <t>B112</t>
  </si>
  <si>
    <t>B114</t>
  </si>
  <si>
    <t>B115</t>
  </si>
  <si>
    <t>B116</t>
  </si>
  <si>
    <t>B1131</t>
  </si>
  <si>
    <t>B1132</t>
  </si>
  <si>
    <t>Települési önkormányzatok gyermekétkeztetési feladatainak támogatása</t>
  </si>
  <si>
    <t>Önkormányzatok működési támogatásai (=01+…+07)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</si>
  <si>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</si>
  <si>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</si>
  <si>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</si>
  <si>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</si>
  <si>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</si>
  <si>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</si>
  <si>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</si>
  <si>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</si>
  <si>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</si>
  <si>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</si>
  <si>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Felhalmozási célú támogatások államháztartáson belülről (=15+…+19)</t>
  </si>
  <si>
    <t>Működési célú támogatások államháztartáson belülről (=09+…+13)</t>
  </si>
  <si>
    <t>Közhatalmi bevételek (=21+...+23)</t>
  </si>
  <si>
    <t>B34</t>
  </si>
  <si>
    <t>B351</t>
  </si>
  <si>
    <t>B36</t>
  </si>
  <si>
    <t>B401</t>
  </si>
  <si>
    <t>B402</t>
  </si>
  <si>
    <t>B403</t>
  </si>
  <si>
    <t>B404</t>
  </si>
  <si>
    <t>B405</t>
  </si>
  <si>
    <t>B406</t>
  </si>
  <si>
    <t>B407</t>
  </si>
  <si>
    <t>B4082</t>
  </si>
  <si>
    <t>B4081</t>
  </si>
  <si>
    <t>B4091</t>
  </si>
  <si>
    <t>B4092</t>
  </si>
  <si>
    <t>B410</t>
  </si>
  <si>
    <t>B411</t>
  </si>
  <si>
    <t>B2</t>
  </si>
  <si>
    <t>B3</t>
  </si>
  <si>
    <t>B4</t>
  </si>
  <si>
    <t>B5</t>
  </si>
  <si>
    <t>Működési bevételek (=25+…+31+34+37+38+39)</t>
  </si>
  <si>
    <t>B51</t>
  </si>
  <si>
    <t>B52</t>
  </si>
  <si>
    <t>B53</t>
  </si>
  <si>
    <t>B54</t>
  </si>
  <si>
    <t>B55</t>
  </si>
  <si>
    <t>B64</t>
  </si>
  <si>
    <t>B71</t>
  </si>
  <si>
    <t>B72</t>
  </si>
  <si>
    <t>B73</t>
  </si>
  <si>
    <t>B74</t>
  </si>
  <si>
    <t>B75</t>
  </si>
  <si>
    <t>B65</t>
  </si>
  <si>
    <t>B61</t>
  </si>
  <si>
    <t>B62</t>
  </si>
  <si>
    <t>B63</t>
  </si>
  <si>
    <t>Működési célú átvett pénzeszközök (=47+…+51)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</si>
  <si>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</si>
  <si>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</si>
  <si>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</si>
  <si>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</si>
  <si>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</si>
  <si>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</si>
  <si>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B7</t>
  </si>
  <si>
    <t>Felhalmozási célú átvett pénzeszközök (=53+…+57)</t>
  </si>
  <si>
    <t>B11</t>
  </si>
  <si>
    <t>B12-B16</t>
  </si>
  <si>
    <t>Felhalmozási bevételek (=41+…+45)</t>
  </si>
  <si>
    <t>3. melléklet az 1/2026. (I.  ) önkormányzati rendelethez</t>
  </si>
  <si>
    <t>2. melléklet az 1/2026. (I.  ) önkormányzati rendelethez</t>
  </si>
  <si>
    <t>1. melléklet az 1/2026. (I.  ) önkormányzati rendelethez</t>
  </si>
  <si>
    <t>B1-B7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</si>
  <si>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</si>
  <si>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</si>
  <si>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</si>
  <si>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</si>
  <si>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</si>
  <si>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</si>
  <si>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Éven túli lejáratú belföldi értékpapírok kibocsátása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</si>
  <si>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</si>
  <si>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</si>
  <si>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</si>
  <si>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</si>
  <si>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</si>
  <si>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</si>
  <si>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</si>
  <si>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</si>
  <si>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</si>
  <si>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</si>
  <si>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</si>
  <si>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</si>
  <si>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</si>
  <si>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</si>
  <si>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</si>
  <si>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</si>
  <si>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</si>
  <si>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</si>
  <si>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</si>
  <si>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</si>
  <si>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B816</t>
  </si>
  <si>
    <t>B817</t>
  </si>
  <si>
    <t>B818</t>
  </si>
  <si>
    <t>B814-B818</t>
  </si>
  <si>
    <t>B8</t>
  </si>
  <si>
    <t>Előző év költségvetési maradványának igénybevétele</t>
  </si>
  <si>
    <t>Előző év vállalkozási maradványának igénybevétele</t>
  </si>
  <si>
    <t>Egyéb finanszírozási bevételek (=13+17)</t>
  </si>
  <si>
    <t>Belföldi értékpapírok bevételei (=05+..+08)</t>
  </si>
  <si>
    <t>34.</t>
  </si>
  <si>
    <t>37.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</si>
  <si>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</si>
  <si>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</si>
  <si>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</si>
  <si>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</si>
  <si>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</si>
  <si>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</si>
  <si>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</si>
  <si>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</si>
  <si>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</si>
  <si>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</si>
  <si>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</si>
  <si>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</si>
  <si>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</si>
  <si>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</si>
  <si>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</si>
  <si>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</si>
  <si>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</si>
  <si>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</si>
  <si>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</si>
  <si>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</si>
  <si>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</si>
  <si>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</si>
  <si>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</si>
  <si>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</si>
  <si>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</si>
  <si>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</si>
  <si>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</si>
  <si>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</si>
  <si>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</si>
  <si>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</si>
  <si>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</si>
  <si>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</si>
  <si>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</si>
  <si>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</si>
  <si>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</si>
  <si>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</si>
  <si>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</si>
  <si>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</si>
  <si>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</si>
  <si>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</si>
  <si>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</si>
  <si>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</si>
  <si>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</si>
  <si>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</si>
  <si>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</si>
  <si>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</si>
  <si>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</si>
  <si>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</si>
  <si>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</si>
  <si>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</si>
  <si>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</si>
  <si>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</si>
  <si>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</si>
  <si>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</si>
  <si>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</si>
  <si>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</si>
  <si>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</si>
  <si>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</si>
  <si>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</si>
  <si>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</si>
  <si>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</si>
  <si>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</si>
  <si>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</si>
  <si>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</si>
  <si>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</si>
  <si>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Intézményi ellátottak pénzbeli juttatásai</t>
  </si>
  <si>
    <t>Egyéb nem intézményi ellátások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</si>
  <si>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</si>
  <si>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</si>
  <si>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</si>
  <si>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Működési célú garancia- és kezességvállalásból származó kifizetés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</si>
  <si>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</si>
  <si>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</si>
  <si>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</si>
  <si>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</si>
  <si>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</si>
  <si>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</si>
  <si>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</si>
  <si>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</si>
  <si>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</si>
  <si>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</si>
  <si>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</si>
  <si>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</si>
  <si>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</si>
  <si>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</si>
  <si>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</si>
  <si>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</si>
  <si>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</si>
  <si>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</si>
  <si>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</si>
  <si>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</si>
  <si>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</si>
  <si>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</si>
  <si>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</si>
  <si>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Egyéb felhalmozási célú támogatások államháztartáson kívülre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</si>
  <si>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</si>
  <si>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</si>
  <si>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</si>
  <si>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</si>
  <si>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</si>
  <si>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</si>
  <si>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</si>
  <si>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</si>
  <si>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</si>
  <si>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</si>
  <si>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</si>
  <si>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</si>
  <si>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</si>
  <si>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</si>
  <si>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</si>
  <si>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</si>
  <si>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</si>
  <si>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</si>
  <si>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</si>
  <si>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</si>
  <si>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</t>
  </si>
  <si>
    <t>K311</t>
  </si>
  <si>
    <t>K312</t>
  </si>
  <si>
    <t>K313</t>
  </si>
  <si>
    <t>K31</t>
  </si>
  <si>
    <t>K321</t>
  </si>
  <si>
    <t>K322</t>
  </si>
  <si>
    <t>K32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</si>
  <si>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</si>
  <si>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</si>
  <si>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</si>
  <si>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</si>
  <si>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</si>
  <si>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</si>
  <si>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</si>
  <si>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</si>
  <si>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</si>
  <si>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</si>
  <si>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</si>
  <si>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</si>
  <si>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</si>
  <si>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</si>
  <si>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</si>
  <si>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</si>
  <si>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K47</t>
  </si>
  <si>
    <t>K48</t>
  </si>
  <si>
    <t>K4</t>
  </si>
  <si>
    <t>K5021</t>
  </si>
  <si>
    <t>K5022</t>
  </si>
  <si>
    <t>K5023</t>
  </si>
  <si>
    <t>K5</t>
  </si>
  <si>
    <t>K61</t>
  </si>
  <si>
    <t>K62</t>
  </si>
  <si>
    <t>K63</t>
  </si>
  <si>
    <t>K64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</si>
  <si>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</si>
  <si>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</si>
  <si>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</si>
  <si>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</si>
  <si>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</si>
  <si>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</si>
  <si>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</si>
  <si>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</si>
  <si>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</si>
  <si>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</si>
  <si>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K513</t>
  </si>
  <si>
    <t>Egyéb működési célú kiadások (=54+55…+64)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</si>
  <si>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</si>
  <si>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</si>
  <si>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</si>
  <si>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</si>
  <si>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</si>
  <si>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</si>
  <si>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</si>
  <si>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</si>
  <si>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</si>
  <si>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</si>
  <si>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</si>
  <si>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</si>
  <si>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</si>
  <si>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K89</t>
  </si>
  <si>
    <t>K8</t>
  </si>
  <si>
    <t>Szolgáltatási kiadások (=28+…+36)</t>
  </si>
  <si>
    <t>Kiküldetések, reklám- és propagandakiadások (=38+39)</t>
  </si>
  <si>
    <t>Különféle befizetések és egyéb dologi kiadások (=41+…+45)</t>
  </si>
  <si>
    <t>Dologi kiadások (=24+27+37+40+46)</t>
  </si>
  <si>
    <t>Ellátottak pénzbeli juttatásai (=48+49)</t>
  </si>
  <si>
    <t>Elvonások és befizetések (=51+52+53)</t>
  </si>
  <si>
    <t>Beruházások (=66+…+70)</t>
  </si>
  <si>
    <t>Felújítások (=72+...+75)</t>
  </si>
  <si>
    <t>Egyéb felhalmozási célú kiadások (=77+…+83)</t>
  </si>
  <si>
    <t>K1-K8</t>
  </si>
  <si>
    <t>Működési célú visszatérítendő támogatások, kölcsönök nyújtása államháztartáson belülre</t>
  </si>
  <si>
    <t>Immateriális javak beszerzése, létesítése összesen</t>
  </si>
  <si>
    <t>Ingatlanok beszerzése, létesítése összesen</t>
  </si>
  <si>
    <t>Informatikai eszközök beszerzése, létesítése összesen</t>
  </si>
  <si>
    <t>Egyéb tárgyi eszközök beszerzése, létesítése összesen</t>
  </si>
  <si>
    <t>BERUHÁZÁSOK ÖSSZESEN</t>
  </si>
  <si>
    <t>5. melléklet az 1/2026. (I.  ) önkormányzati rendelethez</t>
  </si>
  <si>
    <t>6. melléklet az 1/2026. (I.  ) önkormányzati rendelethez</t>
  </si>
  <si>
    <t>FELÚJÍTÁSOK ÖSSZESEN</t>
  </si>
  <si>
    <t>FELHALMOZÁSI KÖLTSÉGVETÉS KIADÁSAI / BERUHÁZÁSOK (forint bruttó értékben)</t>
  </si>
  <si>
    <t>FELHALMOZÁSI KÖLTSÉGVETÉS KIADÁSAI / FELÚJÍTÁSOK (forint bruttó értékben)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</si>
  <si>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</si>
  <si>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</si>
  <si>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</si>
  <si>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</si>
  <si>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</si>
  <si>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</si>
  <si>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</si>
  <si>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</si>
  <si>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</si>
  <si>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</si>
  <si>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</si>
  <si>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</si>
  <si>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</si>
  <si>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</si>
  <si>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lekötött bankbetétként elhelyezése</t>
  </si>
  <si>
    <t>Pénzügyi lízing kiadásai</t>
  </si>
  <si>
    <t>Központi költségvetés sajátos finanszírozási kiadásai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</si>
  <si>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</si>
  <si>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</si>
  <si>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</si>
  <si>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</si>
  <si>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</si>
  <si>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</si>
  <si>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</si>
  <si>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</si>
  <si>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K9125</t>
  </si>
  <si>
    <t>K9126</t>
  </si>
  <si>
    <t>K912</t>
  </si>
  <si>
    <t>K913</t>
  </si>
  <si>
    <t>K914</t>
  </si>
  <si>
    <t>K915</t>
  </si>
  <si>
    <t>K916</t>
  </si>
  <si>
    <t>K917</t>
  </si>
  <si>
    <t>K918</t>
  </si>
  <si>
    <t>K9</t>
  </si>
  <si>
    <t>7. melléklet az 1/2026. (I.  ) önkormányzati rendelethez</t>
  </si>
  <si>
    <t xml:space="preserve">ADÓSSÁGOT KELETKEZTETŐ ÜGYLETEKBŐL </t>
  </si>
  <si>
    <t>Évek</t>
  </si>
  <si>
    <t>ÖSSZES KÖTELEZETTSÉG</t>
  </si>
  <si>
    <t>8. melléklet az 1/2026. (I.  ) önkormányzati rendelethez</t>
  </si>
  <si>
    <t>Összesen                            (6=3+4+5)</t>
  </si>
  <si>
    <t>ADÓSSÁGOT KELETKEZTETŐ ÜGYLETBŐL SZÁRMAZÓ</t>
  </si>
  <si>
    <t>TÁRGYÉVI FIZETÉSI KÖTELEZETTSÉG MEGÁLLAPÍTÁSÁHOZ (adatok forintban)</t>
  </si>
  <si>
    <t>Bevételi jogcímek</t>
  </si>
  <si>
    <t>2026. évi előirányzat</t>
  </si>
  <si>
    <t>SAJÁT BEVÉTELEK ÖSSZESEN</t>
  </si>
  <si>
    <t>Önk.vagyon és az önkormányzatot megillető vagyoni értékű jog értékesítéséből és haszn.származó bevétel</t>
  </si>
  <si>
    <t>Helyi adók bevétele</t>
  </si>
  <si>
    <t>Bírság-, pótlék- és díjbevétel</t>
  </si>
  <si>
    <t>Kezesség-, illetve garanciavállalással kapcsolatos megtérülés</t>
  </si>
  <si>
    <t>Fejlesztési cél leírása</t>
  </si>
  <si>
    <t>Fejlesztés várható kiadása</t>
  </si>
  <si>
    <t>ADÓSSÁGOT KELEZKEZTETŐ ÜGYLETEK VÁRHATÓ EGYÜTTES ÖSSZEGE</t>
  </si>
  <si>
    <t>2026. ÉVI ADÓSSÁGOT KELETKEZTETŐ FEJLESZTÉSI CÉLOK (adatok forintban)</t>
  </si>
  <si>
    <t>SAJÁT BEVÉTELEK RÉSZLETEZÉSE AZ</t>
  </si>
  <si>
    <t>ÉS KEZESSÉGVÁLLALÁSOKBÓL FENNÁLLÓ KÖTELEZETTSÉGEK (adatok forintban)</t>
  </si>
  <si>
    <t>Osztalék, koncessziós díj és hozambevétel</t>
  </si>
  <si>
    <t>Tárgyi eszköz és az im.jószág, részvény, részesedés, vállalat értékesítéséből vagy privatizációból származó bevétel</t>
  </si>
  <si>
    <t>TÖBBÉVES KIHATÁSSAL JÁRÓ DÖNTÉSEK SZÁMSZERŰSÍTÉSE</t>
  </si>
  <si>
    <t>ÉVENKÉNTI BONTÁSBAN ÉS ÖSSZESÍTVE CÉLOK SZERINT (adatok forintban)</t>
  </si>
  <si>
    <t>Kötelezettség jogcíme</t>
  </si>
  <si>
    <t>Kiadás vonzata évenként</t>
  </si>
  <si>
    <t>Működési célú kiadások</t>
  </si>
  <si>
    <t>Felhalmozási célú kiadások</t>
  </si>
  <si>
    <t>Egyéb kiadások</t>
  </si>
  <si>
    <t>Összesen</t>
  </si>
  <si>
    <t xml:space="preserve"> AZ ÖNKORMÁNYZAT ÁLTAL ADOTT KÖZVETETT TÁMOGATÁSOK (adatok forintban)</t>
  </si>
  <si>
    <t>9. melléklet az 1/2026. (I.  ) önkormányzati rendelethez</t>
  </si>
  <si>
    <t>Bevételi jogcím</t>
  </si>
  <si>
    <t>Kedvezmények összege</t>
  </si>
  <si>
    <t>Lakosság részére lakásépítéshez nyújtott kölcsön elengedése</t>
  </si>
  <si>
    <t>Lakosság részére lakásfelújításhoz nyújtott kölcsön elengedése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</si>
  <si>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</si>
  <si>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</si>
  <si>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</si>
  <si>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</si>
  <si>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10. melléklet az 1/2026. (I.  ) önkormányzati rendelethez</t>
  </si>
  <si>
    <t>Összesen:</t>
  </si>
  <si>
    <t>2026. ÉVI KÖLTSÉGVETÉSI ÉVET KÖVETŐ 3 ÉV TERVEZETT BEVÉTELEI ÉS KIADÁSAI</t>
  </si>
  <si>
    <t>2027. év</t>
  </si>
  <si>
    <t>2028. év</t>
  </si>
  <si>
    <t>2029. év</t>
  </si>
  <si>
    <t>Működési célú támogatások államháztartáson belülről</t>
  </si>
  <si>
    <t>Felhalmozási célú támogatások államháztartáson belülről</t>
  </si>
  <si>
    <t xml:space="preserve"> Vagyoni típusú adók előirányzata</t>
  </si>
  <si>
    <t xml:space="preserve"> Értékesítési és forgalmi adók előirányzata</t>
  </si>
  <si>
    <t xml:space="preserve"> Egyéb közhatalmi bevételek előirányzata</t>
  </si>
  <si>
    <t xml:space="preserve">Működési bevételek </t>
  </si>
  <si>
    <t>Felhalmozási bevételek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</si>
  <si>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</si>
  <si>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</si>
  <si>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</si>
  <si>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FINAN.BEVÉTELEK ÖSSZESEN: (9+10)</t>
  </si>
  <si>
    <t>(adatok forintban)</t>
  </si>
  <si>
    <t xml:space="preserve"> - ebből:</t>
  </si>
  <si>
    <t>Közhatalmi bevételek (+6+7+8+9+10)</t>
  </si>
  <si>
    <t>KÖLTSÉGVETÉSI BEVÉTELEK ÖSSZESEN: (1...+4+11+…+14)</t>
  </si>
  <si>
    <t>11. melléklet az 1/2026. (I.  ) önkormányzati rendelethez</t>
  </si>
  <si>
    <t>B E V É T E L E K</t>
  </si>
  <si>
    <t>K I A D Á S O K</t>
  </si>
  <si>
    <t>Beruházások</t>
  </si>
  <si>
    <t>Felújítások</t>
  </si>
  <si>
    <t>KÖLTSÉGVETÉSI KIADÁSOK ÖSSZESEN (1+2)</t>
  </si>
  <si>
    <t>CÉLTARTALÉK</t>
  </si>
  <si>
    <t>FINANSZÍROZÁSI KIADÁSOK ÖSSZESEN:</t>
  </si>
  <si>
    <t>KIADÁSOK ÖSSZESEN: (+7+8+9)</t>
  </si>
  <si>
    <t xml:space="preserve">Működési költségvetés kiadásai </t>
  </si>
  <si>
    <t>Felhalmozási költségvetés kiadásai (+4+5+6)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</si>
  <si>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</si>
  <si>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</si>
  <si>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</si>
  <si>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</si>
  <si>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</si>
  <si>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</si>
  <si>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</si>
  <si>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</si>
  <si>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</si>
  <si>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</si>
  <si>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</si>
  <si>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B1</t>
  </si>
  <si>
    <t>Önkormányzatok működési támogatásai</t>
  </si>
  <si>
    <t>Felhalmozási célú támogatások ÁH-on belül</t>
  </si>
  <si>
    <t>Felhalmozási célú átvett pénzeszközök</t>
  </si>
  <si>
    <t>Finanszírozási bevételek</t>
  </si>
  <si>
    <t>Bevételek összesen:</t>
  </si>
  <si>
    <t>Rovatrend</t>
  </si>
  <si>
    <t>Munkaadókat terhelő járulékok és szha.</t>
  </si>
  <si>
    <t>Dologi  kiadások</t>
  </si>
  <si>
    <t xml:space="preserve"> Egyéb működési célú kiadások</t>
  </si>
  <si>
    <t>Finanszírozási kiadások</t>
  </si>
  <si>
    <t>Kiadások összesen:</t>
  </si>
  <si>
    <t>B1-B8</t>
  </si>
  <si>
    <t>K1-K9</t>
  </si>
  <si>
    <t>ELŐIRÁNYZAT FELHASZNÁLÁSI TERV 2026. ÉVRE (adatok forintban)</t>
  </si>
  <si>
    <t>EGYENLEG</t>
  </si>
  <si>
    <t>12. melléklet az 1/2026. (I.  ) önkormányzati rendelethez</t>
  </si>
  <si>
    <t>KÖLTSÉGVETÉSI BEVÉTELEK</t>
  </si>
  <si>
    <t>Költségvetési bevételek összesen (=8+14+20+24+34+37+40+46+52+58)</t>
  </si>
  <si>
    <t>Finanszírozási bevételek összesen (=04+09+12+18)</t>
  </si>
  <si>
    <t>KÖLTSÉGVETÉSI ÉS FINANSZÍROZÁSI BEVÉTELEK ÖSSZESEN (=59+)</t>
  </si>
  <si>
    <t>ÖNKORMÁNYZAT ÉS INTÉZMÉNYEI VONATKOZÁSÁBAN (adatok forintban)</t>
  </si>
  <si>
    <t>KÖLTSÉGVETÉSI ÉS FINANSZÍROZÁSI KIADÁSOK ROVATREND SZERINTI BONTÁSBAN</t>
  </si>
  <si>
    <t>KÖLTSÉGVETÉSI ÉS FINANSZÍROZÁSI BEVÉTELEK ROVATREND SZERINTI BONTÁSBAN</t>
  </si>
  <si>
    <t>KÖLTSÉGVETÉSI KIADÁSOK</t>
  </si>
  <si>
    <t>Költségvetési kiadások összesen (=19+20+45+54+71+79+84+94)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</si>
  <si>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</si>
  <si>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</si>
  <si>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</si>
  <si>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</si>
  <si>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</si>
  <si>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</si>
  <si>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</si>
  <si>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</si>
  <si>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</si>
  <si>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</si>
  <si>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</si>
  <si>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</si>
  <si>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</si>
  <si>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</si>
  <si>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</si>
  <si>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</si>
  <si>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</si>
  <si>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</si>
  <si>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</si>
  <si>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Finanszírozási kiadások összesen (=4+11+12…+17)</t>
  </si>
  <si>
    <t>KÖLTSÉGVETÉSI ÉS FINANSZÍROZÁSI KIADÁSOK ÖSSZESEN (=85+104)</t>
  </si>
  <si>
    <t>Kötelező feladatok</t>
  </si>
  <si>
    <t>Önként vállalt feladatok</t>
  </si>
  <si>
    <t>Államigazgatási feladatok</t>
  </si>
  <si>
    <t>Eredeti előirányzat</t>
  </si>
  <si>
    <t>Módosított előirányzat</t>
  </si>
  <si>
    <t>B12-16</t>
  </si>
  <si>
    <t>AZ ÖNKORMÁNYZAT ÉS INTÉZMÉNYEI (adatok forintban)</t>
  </si>
  <si>
    <t>Egyéb működési célú kiadások</t>
  </si>
  <si>
    <t>BEVÉTELEK jogcím megnevezése</t>
  </si>
  <si>
    <t>KIADÁSOK jogcím megnevezése</t>
  </si>
  <si>
    <t>ÖSSZEVONT BEVÉTELEK ÉS KIADÁSOK EGYENLEGE (adatok forintban)</t>
  </si>
  <si>
    <t>2025. évi tányadat</t>
  </si>
  <si>
    <t>2026. évi eredeti előirányzat</t>
  </si>
  <si>
    <t>2026.évi módosított előirányzat I.</t>
  </si>
  <si>
    <t>2026.évi módosított előirányzat II.</t>
  </si>
  <si>
    <t>2026.évi módosított előirányzat III.</t>
  </si>
  <si>
    <t>2026.évi módosított előirányzat IV.</t>
  </si>
  <si>
    <t>MŰKÖDÉSI CÉLÚ KÖLTSÉGVETÉSI BEVÉTELEK</t>
  </si>
  <si>
    <t>FELHALMOZÁSI CÉLÚ KÖLTSÉGVETÉSI BEVÉTELEK</t>
  </si>
  <si>
    <t>FELHALMOZÁSI KÖLTSÉGVETÉSI BEVÉTELEK ÖSSZESEN (=9…+11)</t>
  </si>
  <si>
    <t>MŰKÖDÉSI KÖLTSÉGVETÉSI BEVÉTELEK ÖSSZESEN (=2…+6)</t>
  </si>
  <si>
    <t>KÖLTSÉGVETÉSI BEVÉTELEK ÖSSZESEN (=7+12)</t>
  </si>
  <si>
    <t>Hitel, kölcsön felvétele államháztartáson kívülről</t>
  </si>
  <si>
    <t>Belföldi értékpapírok bevétele</t>
  </si>
  <si>
    <t>Maradvány igénybevétele</t>
  </si>
  <si>
    <t>ÁH-n belüli megelőlegezések bevétele</t>
  </si>
  <si>
    <t>Központi, irányítószervi támogatás</t>
  </si>
  <si>
    <t>Lekötött bankbetétek megszűntetése</t>
  </si>
  <si>
    <t>FINANSZÍROZÁSI BEVÉTELEK ÖSSZESEN (=15…+20)</t>
  </si>
  <si>
    <t>BEVÉTELEK MINDÖSSZESEN (=13+21)</t>
  </si>
  <si>
    <t>MŰKÖDÉSI CÉLÚ KÖLTSÉGVETÉSI KIADÁSOK</t>
  </si>
  <si>
    <t>Dologi kiadások</t>
  </si>
  <si>
    <t>MŰKÖDÉSI CÉLÚ KÖLTSÉGVETÉSI KIADÁSOK ÖSSZESEN (=26…+30)</t>
  </si>
  <si>
    <t>FELHALMOZÁSI CÉLÚ KÖLTSÉGVETÉSI KIADÁSOK</t>
  </si>
  <si>
    <t>Egyéb felhalmozási célú kiadások</t>
  </si>
  <si>
    <t>FELHALMOZÁSI CÉLÚ KÖLTSÉGVETÉSI KIADÁSOK ÖSSZESEN (=33…+35)</t>
  </si>
  <si>
    <t>KÖLTSÉGVETÉSI KIADÁSOK ÖSSZESEN (=31+36)</t>
  </si>
  <si>
    <t>Belföldi értékpapírok kiadásai</t>
  </si>
  <si>
    <t>Központi, irányítószervi támogatás folyósítása</t>
  </si>
  <si>
    <t>Pénzeszközök betétként történő elhelyezése</t>
  </si>
  <si>
    <t>FINANSZÍROZÁSI KIADÁSOK ÖSSZESEN (=39….+42)</t>
  </si>
  <si>
    <t>KIADÁSOK MINDÖSSZESEN (=37+43)</t>
  </si>
  <si>
    <t>KÖLTSÉGVETÉSI BEVÉTELEK ÉS KIADÁSOK EGYENLEGE (=22-44)</t>
  </si>
  <si>
    <t xml:space="preserve">Tokod Nagyközség Önkormányzata és a hozzá kapcsolódó intézmények </t>
  </si>
  <si>
    <t>Tokodi Mesevár Óvoda- Mini Bölcsőde és Bölcsőde</t>
  </si>
  <si>
    <t>MŰKÖDÉSI KÖLTSÉGVETÉSI BEVÉTELEK ÖSSZESEN (=2…+5)</t>
  </si>
  <si>
    <t>FELHALMOZÁSI KÖLTSÉGVETÉSI BEVÉTELEK ÖSSZESEN (=8…+10)</t>
  </si>
  <si>
    <t>KÖLTSÉGVETÉSI BEVÉTELEK ÖSSZESEN (=7+11)</t>
  </si>
  <si>
    <t>FINANSZÍROZÁSI BEVÉTELEK ÖSSZESEN (=14…+19)</t>
  </si>
  <si>
    <t>BEVÉTELEK MINDÖSSZESEN (=12+20)</t>
  </si>
  <si>
    <t>MŰKÖDÉSI CÉLÚ KÖLTSÉGVETÉSI KIADÁSOK ÖSSZESEN (=23…+27)</t>
  </si>
  <si>
    <t>FELHALMOZÁSI CÉLÚ KÖLTSÉGVETÉSI KIADÁSOK ÖSSZESEN (=30…+32)</t>
  </si>
  <si>
    <t>KÖLTSÉGVETÉSI KIADÁSOK ÖSSZESEN (=28+33)</t>
  </si>
  <si>
    <t>FINANSZÍROZÁSI KIADÁSOK ÖSSZESEN (=36….+39)</t>
  </si>
  <si>
    <t>KIADÁSOK MINDÖSSZESEN (=34+40)</t>
  </si>
  <si>
    <t>MŰKÖDÉSI CÉLÚ ÉS FINANSZÍROZÁSI BEVÉTELEK ÉS KIADÁSOK FELADATALAPÚ BONTÁSA INTÉZMÉNYENKÉNT (adatok forintban)</t>
  </si>
  <si>
    <t>MŰKÖDÉSI CÉLÚ BEVÉTELEK</t>
  </si>
  <si>
    <t>MŰKÖDÉSI CÉLÚ KIADÁSOK</t>
  </si>
  <si>
    <t>FELHALMOZÁSI BEVÉTELEK</t>
  </si>
  <si>
    <t>FELHALMOZÁSI KIADÁSOK</t>
  </si>
  <si>
    <t>KÖLTSÉGVETÉS EGYENLEGE</t>
  </si>
  <si>
    <t>MŰKÖDÉSI CÉLÚ BEVÉTELEK ÉS KIADÁSOK EGYENLEGE</t>
  </si>
  <si>
    <t>FELHALMOZÁSI BEVÉTELEK ÉS KIADÁSOK EGYENLEGE</t>
  </si>
  <si>
    <t>4. melléklet az 1/2026. (I.  ) önkormányzati rendelethez</t>
  </si>
  <si>
    <t>AZ ÉVKÖZI TÖBBLETIGÉNYEK, VALAMINT AZ ELMARADT BEVÉTELEK FEDEZETÉRE SZOLGÁLÓ TARTALÉKOK (adatok forintban)</t>
  </si>
  <si>
    <t>Módosított I.</t>
  </si>
  <si>
    <t>Módosított II.</t>
  </si>
  <si>
    <t>Módosított III.</t>
  </si>
  <si>
    <t>Módosított IV.</t>
  </si>
  <si>
    <t>Általános tartalék</t>
  </si>
  <si>
    <t>Céltartalékok</t>
  </si>
  <si>
    <t>Engedélyezett létszámkeret (fő)</t>
  </si>
  <si>
    <t>Köztisztviselők</t>
  </si>
  <si>
    <t>Közalkalmazottak</t>
  </si>
  <si>
    <t>Pedagógus életpálya alapján foglalkoztatottak</t>
  </si>
  <si>
    <t>Választott tisztségviselők</t>
  </si>
  <si>
    <t>Egyéb jogviszonyban foglalkoztatottak</t>
  </si>
  <si>
    <t>Engedélyezett létszámkeret összesen</t>
  </si>
  <si>
    <t>JOGVISZONYONKÉNT TERVEZETT LÉTSZÁMADATOK (fő)</t>
  </si>
  <si>
    <t>13. melléklet az 1/2026. (I.  ) önkormányzati rendelethez</t>
  </si>
  <si>
    <t>Támogatás összege</t>
  </si>
  <si>
    <t>Önerő</t>
  </si>
  <si>
    <t>EURÓPAI UNIÓS ÉS EGYÉB KÖLTSÉGVETÉSI TÁMOGATÁSSAL MEGVALÓSULÓ PROJEKTEK (adatok forintban)</t>
  </si>
  <si>
    <t>14. melléklet az 1/2026. (I.  ) önkormányzati rendelethez</t>
  </si>
  <si>
    <t>Működési célú visszatérítendő támogatások, kölcsönök igénybevétele államháztartáson belülről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</si>
  <si>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</si>
  <si>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</si>
  <si>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Villamosenergia szolgáltatás díja</t>
  </si>
  <si>
    <t>Gázenergia szolgáltatás díja</t>
  </si>
  <si>
    <t>Víz- és csatorna szolgáltatások díja</t>
  </si>
  <si>
    <t>K3311</t>
  </si>
  <si>
    <t>K3312</t>
  </si>
  <si>
    <t>K3314</t>
  </si>
  <si>
    <t>Európai Uniós támogatásból megvalósuló projekt megnevezése</t>
  </si>
  <si>
    <t>Projekt azonosító száma</t>
  </si>
  <si>
    <t>Egyéb költségvetési támogatásból megvalósuló projekt megnevezése</t>
  </si>
  <si>
    <t>Szociális közösségi épület fejlesztése Tokodon</t>
  </si>
  <si>
    <t>Pincevölgyi kerékpárút építése</t>
  </si>
  <si>
    <t>TOP_PLUSZ-1.1.3-21-KO1-2022-00005</t>
  </si>
  <si>
    <t>TOP_PLUSZ-3.3.2-21-KO1-2022-00004</t>
  </si>
  <si>
    <t>Kékinfrastruktúra fejlesztése Tokod településen</t>
  </si>
  <si>
    <t>TOP_PLUSZ-1.2.1-21-KO1-2022-00006</t>
  </si>
  <si>
    <t>Aktívan a Dunamentén - Aktív és ökoturisztikai fejlesztések Komárom-Esztergom Megyében</t>
  </si>
  <si>
    <t>TOP_PLUSZ-1.1.3-21-KO2-2022-00001</t>
  </si>
  <si>
    <t>Óvodai játszóudvar, közterületi játszóterek fejlesztése</t>
  </si>
  <si>
    <t>MFP-ÖTIFB/2025</t>
  </si>
  <si>
    <t>Kerékpáros pumpapálya Tokodon</t>
  </si>
  <si>
    <t>AOFK_T/0284/2025</t>
  </si>
  <si>
    <t>Versenyképes Járások Program I. - Helyi önkormányzati feladat ellátását szolgáló épület felújítása</t>
  </si>
  <si>
    <t>"Tisztítsuk meg az országot II." Hulladékelszámolási Pályázat</t>
  </si>
  <si>
    <t>ILJ/604-1/2024</t>
  </si>
  <si>
    <t>MFP-FAE/2025</t>
  </si>
  <si>
    <t>MFP - Közvilágítás korszerűsítésének támogatása ötezer fő alatti településeken</t>
  </si>
  <si>
    <t>MFP - Felelős állattartás elősegítése ötezer fő alatti településeken</t>
  </si>
  <si>
    <t>2025/KÖZVIL/01</t>
  </si>
  <si>
    <t>Versenyképes Járások Program II. - Dorog és Térsége Szociális Alapellátó Szolgálat fejlesztése, működésének támogatása</t>
  </si>
  <si>
    <t>háziorvos és védőnő vállalkozó, akinek a a vállalkozásából származó iparűzési adó bevetel alapja a 20 MFt-ot nem haladja meg</t>
  </si>
  <si>
    <t>70 éven felüli egyedülálló magánszemélyek kommunális adó kedvezménye</t>
  </si>
  <si>
    <t>500 e Ft adóalap alatti vállalkozók iparűzési adó mentessége</t>
  </si>
  <si>
    <t xml:space="preserve">13/2015. (XII.1.) önkormányzati rendelet 5.§ a) pont       </t>
  </si>
  <si>
    <t xml:space="preserve">13/2015. (XII.1.) önkormányzati rendelet 3.§ </t>
  </si>
  <si>
    <t xml:space="preserve">13/2015. (XII.1.) önkormányzati rendelet 5.§ b) pont       </t>
  </si>
  <si>
    <t>Hivatkozás</t>
  </si>
  <si>
    <t>Jogcím</t>
  </si>
  <si>
    <t>Szociális közösségi épület fejlesztése</t>
  </si>
  <si>
    <t>Kékinfrastruktúra fejlesztése - Csapadékvíz elvezetése</t>
  </si>
  <si>
    <t>Aktívan a Dunamentén - Aktív és ökoturisztikai fejlesztések - Látogatóközpont</t>
  </si>
  <si>
    <t>Kerékpáros pumpapálya</t>
  </si>
  <si>
    <t>Óvodai játszóudvar fejlesztése</t>
  </si>
  <si>
    <t>Ebszőnybányai buszváró telepítése + Üdvözlő tábla áthelyezése</t>
  </si>
  <si>
    <t>Térfigyelő kamerák elhelyezése</t>
  </si>
  <si>
    <t>Árnyékolók beszerzése - bölcsőde épület TÜ</t>
  </si>
  <si>
    <t>Közvilágítás korszerűsítése</t>
  </si>
  <si>
    <t>Ingatlan kisajátítások</t>
  </si>
  <si>
    <t>Mobiltelefon - bölcsőde TÜ</t>
  </si>
  <si>
    <t>2025. év vagy korábbi évek előirányzatának terhére már kifizetett összeg</t>
  </si>
  <si>
    <t>Óvoda laptop beszerzés (3 db)</t>
  </si>
  <si>
    <t>Polgármesteri Hivatal egyéb informatikai eszközbeszerzés</t>
  </si>
  <si>
    <t>Egyéb eszközbeszerzés</t>
  </si>
  <si>
    <t>2025. évi tényadat</t>
  </si>
  <si>
    <t>Településfásítás</t>
  </si>
  <si>
    <t>Kötelezettség-vállalás éve</t>
  </si>
  <si>
    <t>Külterületi utak fejlesztése</t>
  </si>
  <si>
    <t>KAP - Külterületi utak fejlesztése</t>
  </si>
  <si>
    <t>KAP-RD43-1-25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</si>
</sst>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21212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6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/>
    <xf numFmtId="0" fontId="1" fillId="3" borderId="1" xfId="0" applyFont="1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7" xfId="0" applyFill="1" applyBorder="1"/>
    <xf numFmtId="0" fontId="0" fillId="4" borderId="1" xfId="0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/>
    <xf numFmtId="0" fontId="1" fillId="0" borderId="6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wrapText="1"/>
    </xf>
    <xf numFmtId="3" fontId="0" fillId="0" borderId="1" xfId="0" applyNumberFormat="1" applyBorder="1"/>
    <xf numFmtId="3" fontId="1" fillId="3" borderId="1" xfId="0" applyNumberFormat="1" applyFont="1" applyFill="1" applyBorder="1"/>
    <xf numFmtId="3" fontId="1" fillId="2" borderId="1" xfId="0" applyNumberFormat="1" applyFont="1" applyFill="1" applyBorder="1"/>
    <xf numFmtId="3" fontId="0" fillId="0" borderId="0" xfId="0" applyNumberFormat="1"/>
    <xf numFmtId="3" fontId="0" fillId="2" borderId="1" xfId="0" applyNumberFormat="1" applyFill="1" applyBorder="1"/>
    <xf numFmtId="3" fontId="0" fillId="3" borderId="1" xfId="0" applyNumberFormat="1" applyFill="1" applyBorder="1"/>
    <xf numFmtId="3" fontId="13" fillId="2" borderId="1" xfId="0" applyNumberFormat="1" applyFont="1" applyFill="1" applyBorder="1"/>
    <xf numFmtId="0" fontId="0" fillId="0" borderId="8" xfId="0" applyBorder="1"/>
    <xf numFmtId="3" fontId="0" fillId="0" borderId="9" xfId="0" applyNumberFormat="1" applyBorder="1"/>
    <xf numFmtId="3" fontId="11" fillId="0" borderId="1" xfId="0" applyNumberFormat="1" applyFont="1" applyBorder="1"/>
    <xf numFmtId="0" fontId="0" fillId="0" borderId="1" xfId="0" applyBorder="1" applyAlignment="1">
      <alignment vertical="center" wrapText="1"/>
    </xf>
    <xf numFmtId="164" fontId="0" fillId="0" borderId="1" xfId="2" applyNumberFormat="1" applyFont="1" applyBorder="1"/>
    <xf numFmtId="164" fontId="1" fillId="3" borderId="1" xfId="2" applyNumberFormat="1" applyFont="1" applyFill="1" applyBorder="1"/>
    <xf numFmtId="3" fontId="0" fillId="0" borderId="1" xfId="2" applyNumberFormat="1" applyFont="1" applyBorder="1"/>
    <xf numFmtId="3" fontId="1" fillId="3" borderId="1" xfId="2" applyNumberFormat="1" applyFont="1" applyFill="1" applyBorder="1"/>
    <xf numFmtId="164" fontId="0" fillId="0" borderId="1" xfId="2" applyNumberFormat="1" applyFont="1" applyBorder="1" applyAlignment="1">
      <alignment wrapText="1"/>
    </xf>
    <xf numFmtId="164" fontId="1" fillId="2" borderId="1" xfId="2" applyNumberFormat="1" applyFont="1" applyFill="1" applyBorder="1" applyAlignment="1">
      <alignment wrapText="1"/>
    </xf>
    <xf numFmtId="164" fontId="1" fillId="3" borderId="1" xfId="2" applyNumberFormat="1" applyFont="1" applyFill="1" applyBorder="1" applyAlignment="1">
      <alignment wrapText="1"/>
    </xf>
    <xf numFmtId="164" fontId="0" fillId="0" borderId="1" xfId="2" applyNumberFormat="1" applyFont="1" applyBorder="1" applyAlignment="1">
      <alignment vertical="center" wrapText="1"/>
    </xf>
    <xf numFmtId="164" fontId="1" fillId="2" borderId="1" xfId="2" applyNumberFormat="1" applyFont="1" applyFill="1" applyBorder="1"/>
    <xf numFmtId="0" fontId="11" fillId="0" borderId="1" xfId="0" applyFont="1" applyBorder="1"/>
    <xf numFmtId="164" fontId="0" fillId="0" borderId="12" xfId="2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3" borderId="1" xfId="2" applyNumberFormat="1" applyFont="1" applyFill="1" applyBorder="1"/>
    <xf numFmtId="164" fontId="0" fillId="2" borderId="1" xfId="2" applyNumberFormat="1" applyFont="1" applyFill="1" applyBorder="1"/>
    <xf numFmtId="164" fontId="0" fillId="0" borderId="0" xfId="0" applyNumberFormat="1"/>
    <xf numFmtId="164" fontId="0" fillId="6" borderId="1" xfId="2" applyNumberFormat="1" applyFont="1" applyFill="1" applyBorder="1"/>
    <xf numFmtId="0" fontId="0" fillId="6" borderId="1" xfId="0" applyFill="1" applyBorder="1" applyAlignment="1">
      <alignment horizontal="left"/>
    </xf>
    <xf numFmtId="164" fontId="1" fillId="0" borderId="1" xfId="2" applyNumberFormat="1" applyFont="1" applyBorder="1"/>
    <xf numFmtId="0" fontId="1" fillId="5" borderId="1" xfId="0" applyFont="1" applyFill="1" applyBorder="1"/>
    <xf numFmtId="9" fontId="0" fillId="0" borderId="0" xfId="0" applyNumberFormat="1"/>
    <xf numFmtId="164" fontId="0" fillId="0" borderId="1" xfId="2" applyNumberFormat="1" applyFont="1" applyFill="1" applyBorder="1" applyAlignment="1">
      <alignment wrapText="1"/>
    </xf>
    <xf numFmtId="164" fontId="0" fillId="0" borderId="1" xfId="2" applyNumberFormat="1" applyFont="1" applyFill="1" applyBorder="1"/>
    <xf numFmtId="164" fontId="16" fillId="0" borderId="1" xfId="2" applyNumberFormat="1" applyFont="1" applyBorder="1"/>
    <xf numFmtId="164" fontId="1" fillId="4" borderId="1" xfId="2" applyNumberFormat="1" applyFont="1" applyFill="1" applyBorder="1"/>
    <xf numFmtId="164" fontId="0" fillId="0" borderId="0" xfId="2" applyNumberFormat="1" applyFont="1"/>
    <xf numFmtId="164" fontId="1" fillId="0" borderId="0" xfId="2" applyNumberFormat="1" applyFont="1"/>
    <xf numFmtId="0" fontId="17" fillId="0" borderId="1" xfId="0" applyFont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0" xfId="0" applyFont="1" applyFill="1" applyBorder="1"/>
    <xf numFmtId="0" fontId="10" fillId="3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" fillId="3" borderId="1" xfId="0" applyFont="1" applyFill="1" applyBorder="1"/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6" xfId="0" applyNumberFormat="1" applyBorder="1"/>
    <xf numFmtId="0" fontId="0" fillId="0" borderId="10" xfId="0" applyBorder="1"/>
    <xf numFmtId="0" fontId="0" fillId="0" borderId="7" xfId="0" applyBorder="1"/>
    <xf numFmtId="0" fontId="0" fillId="2" borderId="6" xfId="0" applyFill="1" applyBorder="1"/>
    <xf numFmtId="0" fontId="0" fillId="2" borderId="7" xfId="0" applyFill="1" applyBorder="1"/>
    <xf numFmtId="0" fontId="0" fillId="0" borderId="6" xfId="0" applyBorder="1" applyAlignment="1">
      <alignment horizontal="center" vertical="center" wrapText="1"/>
    </xf>
    <xf numFmtId="0" fontId="1" fillId="2" borderId="6" xfId="0" applyFont="1" applyFill="1" applyBorder="1"/>
    <xf numFmtId="0" fontId="1" fillId="0" borderId="7" xfId="0" applyFont="1" applyBorder="1"/>
    <xf numFmtId="0" fontId="13" fillId="2" borderId="6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3" borderId="6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1" fillId="3" borderId="6" xfId="2" applyNumberFormat="1" applyFont="1" applyFill="1" applyBorder="1" applyAlignment="1">
      <alignment wrapText="1"/>
    </xf>
    <xf numFmtId="164" fontId="1" fillId="3" borderId="7" xfId="2" applyNumberFormat="1" applyFont="1" applyFill="1" applyBorder="1" applyAlignment="1">
      <alignment wrapText="1"/>
    </xf>
    <xf numFmtId="164" fontId="1" fillId="2" borderId="6" xfId="2" applyNumberFormat="1" applyFont="1" applyFill="1" applyBorder="1" applyAlignment="1">
      <alignment wrapText="1"/>
    </xf>
    <xf numFmtId="164" fontId="0" fillId="0" borderId="7" xfId="2" applyNumberFormat="1" applyFont="1" applyBorder="1" applyAlignment="1">
      <alignment wrapText="1"/>
    </xf>
    <xf numFmtId="164" fontId="0" fillId="3" borderId="7" xfId="2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2" applyNumberFormat="1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Normál 2" xfId="1" xr:uid="{F33D88F9-B783-4AB9-86AF-4E2AEAD37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F65-9A65-4A2E-81A8-E238930B7451}">
  <sheetPr>
    <pageSetUpPr fitToPage="1"/>
  </sheetPr>
  <dimension ref="A1:M93"/>
  <sheetViews>
    <sheetView workbookViewId="0">
      <pane ySplit="9" topLeftCell="A25" activePane="bottomLeft" state="frozen"/>
      <selection pane="bottomLeft" activeCell="H93" sqref="H93"/>
    </sheetView>
  </sheetViews>
  <sheetFormatPr defaultRowHeight="15" x14ac:dyDescent="0.25"/>
  <cols>
    <col min="1" max="1" width="8.5703125" customWidth="1"/>
    <col min="2" max="2" width="59" style="5" customWidth="1"/>
    <col min="3" max="3" width="9.85546875" style="5" customWidth="1"/>
    <col min="4" max="11" width="17.140625" customWidth="1"/>
    <col min="12" max="12" width="10" bestFit="1" customWidth="1"/>
    <col min="13" max="13" width="12.7109375" customWidth="1"/>
  </cols>
  <sheetData>
    <row r="1" spans="1:13" s="22" customFormat="1" ht="15.75" x14ac:dyDescent="0.25">
      <c r="B1" s="23"/>
      <c r="C1" s="23"/>
      <c r="D1" s="23" t="s">
        <v>57</v>
      </c>
      <c r="I1" s="22" t="s">
        <v>202</v>
      </c>
    </row>
    <row r="2" spans="1:13" s="22" customFormat="1" ht="15.75" x14ac:dyDescent="0.25">
      <c r="B2" s="23"/>
      <c r="C2" s="24"/>
      <c r="D2" s="24" t="s">
        <v>582</v>
      </c>
    </row>
    <row r="3" spans="1:13" s="22" customFormat="1" ht="15.75" x14ac:dyDescent="0.25">
      <c r="B3" s="23"/>
      <c r="C3" s="21"/>
      <c r="D3" s="21" t="s">
        <v>612</v>
      </c>
    </row>
    <row r="4" spans="1:13" s="22" customFormat="1" ht="15.75" x14ac:dyDescent="0.25">
      <c r="B4" s="23"/>
      <c r="C4" s="24"/>
    </row>
    <row r="5" spans="1:13" ht="18.75" x14ac:dyDescent="0.3">
      <c r="A5" s="120" t="s">
        <v>576</v>
      </c>
      <c r="B5" s="120"/>
      <c r="C5" s="120"/>
      <c r="D5" s="120"/>
      <c r="E5" s="120"/>
      <c r="F5" s="120"/>
      <c r="G5" s="120"/>
      <c r="H5" s="120"/>
      <c r="I5" s="120"/>
      <c r="J5" s="120"/>
      <c r="K5" s="121"/>
    </row>
    <row r="6" spans="1:13" x14ac:dyDescent="0.25">
      <c r="A6" s="115" t="s">
        <v>0</v>
      </c>
      <c r="B6" s="6" t="s">
        <v>1</v>
      </c>
      <c r="C6" s="6" t="s">
        <v>2</v>
      </c>
      <c r="D6" s="17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59</v>
      </c>
    </row>
    <row r="7" spans="1:13" ht="45.75" customHeight="1" x14ac:dyDescent="0.25">
      <c r="A7" s="115"/>
      <c r="B7" s="115" t="s">
        <v>10</v>
      </c>
      <c r="C7" s="115" t="s">
        <v>58</v>
      </c>
      <c r="D7" s="114" t="s">
        <v>16</v>
      </c>
      <c r="E7" s="115"/>
      <c r="F7" s="115" t="s">
        <v>15</v>
      </c>
      <c r="G7" s="115"/>
      <c r="H7" s="115" t="s">
        <v>650</v>
      </c>
      <c r="I7" s="115"/>
      <c r="J7" s="115" t="s">
        <v>43</v>
      </c>
      <c r="K7" s="115"/>
    </row>
    <row r="8" spans="1:13" x14ac:dyDescent="0.25">
      <c r="A8" s="115"/>
      <c r="B8" s="122"/>
      <c r="C8" s="122"/>
      <c r="D8" s="19" t="s">
        <v>11</v>
      </c>
      <c r="E8" s="20" t="s">
        <v>12</v>
      </c>
      <c r="F8" s="20" t="s">
        <v>11</v>
      </c>
      <c r="G8" s="20" t="s">
        <v>12</v>
      </c>
      <c r="H8" s="20" t="s">
        <v>11</v>
      </c>
      <c r="I8" s="20" t="s">
        <v>12</v>
      </c>
      <c r="J8" s="20" t="s">
        <v>11</v>
      </c>
      <c r="K8" s="20" t="s">
        <v>12</v>
      </c>
    </row>
    <row r="9" spans="1:13" x14ac:dyDescent="0.25">
      <c r="A9" s="115"/>
      <c r="B9" s="122"/>
      <c r="C9" s="122"/>
      <c r="D9" s="116" t="s">
        <v>13</v>
      </c>
      <c r="E9" s="117"/>
      <c r="F9" s="118" t="s">
        <v>13</v>
      </c>
      <c r="G9" s="118"/>
      <c r="H9" s="118" t="s">
        <v>13</v>
      </c>
      <c r="I9" s="118"/>
      <c r="J9" s="118" t="s">
        <v>13</v>
      </c>
      <c r="K9" s="118"/>
    </row>
    <row r="10" spans="1:13" x14ac:dyDescent="0.25">
      <c r="A10" s="6" t="s">
        <v>17</v>
      </c>
      <c r="B10" s="110" t="s">
        <v>91</v>
      </c>
      <c r="C10" s="6" t="s">
        <v>130</v>
      </c>
      <c r="D10" s="70">
        <v>159194710</v>
      </c>
      <c r="E10" s="70"/>
      <c r="F10" s="70"/>
      <c r="G10" s="70"/>
      <c r="H10" s="70"/>
      <c r="I10" s="70"/>
      <c r="J10" s="70">
        <f>+D10+F10+H10</f>
        <v>159194710</v>
      </c>
      <c r="K10" s="70">
        <f>+E10+G10+I10</f>
        <v>0</v>
      </c>
    </row>
    <row r="11" spans="1:13" ht="30" x14ac:dyDescent="0.25">
      <c r="A11" s="6" t="s">
        <v>18</v>
      </c>
      <c r="B11" s="110" t="s">
        <v>92</v>
      </c>
      <c r="C11" s="6" t="s">
        <v>131</v>
      </c>
      <c r="D11" s="70">
        <v>219532742</v>
      </c>
      <c r="E11" s="70"/>
      <c r="F11" s="70"/>
      <c r="G11" s="70"/>
      <c r="H11" s="70"/>
      <c r="I11" s="70"/>
      <c r="J11" s="70">
        <f t="shared" ref="J11:J64" si="0">+D11+F11+H11</f>
        <v>219532742</v>
      </c>
      <c r="K11" s="70">
        <f t="shared" ref="K11:K64" si="1">+E11+G11+I11</f>
        <v>0</v>
      </c>
      <c r="M11" s="73"/>
    </row>
    <row r="12" spans="1:13" ht="30" x14ac:dyDescent="0.25">
      <c r="A12" s="6" t="s">
        <v>19</v>
      </c>
      <c r="B12" s="110" t="s">
        <v>93</v>
      </c>
      <c r="C12" s="6" t="s">
        <v>135</v>
      </c>
      <c r="D12" s="70">
        <v>97351200</v>
      </c>
      <c r="E12" s="70"/>
      <c r="F12" s="70"/>
      <c r="G12" s="70"/>
      <c r="H12" s="70"/>
      <c r="I12" s="70"/>
      <c r="J12" s="70">
        <f t="shared" si="0"/>
        <v>97351200</v>
      </c>
      <c r="K12" s="70">
        <f t="shared" si="1"/>
        <v>0</v>
      </c>
      <c r="M12" s="73"/>
    </row>
    <row r="13" spans="1:13" ht="30" x14ac:dyDescent="0.25">
      <c r="A13" s="6" t="s">
        <v>20</v>
      </c>
      <c r="B13" s="110" t="s">
        <v>137</v>
      </c>
      <c r="C13" s="6" t="s">
        <v>136</v>
      </c>
      <c r="D13" s="70">
        <v>52725893</v>
      </c>
      <c r="E13" s="70"/>
      <c r="F13" s="70"/>
      <c r="G13" s="70"/>
      <c r="H13" s="70"/>
      <c r="I13" s="70"/>
      <c r="J13" s="70">
        <f t="shared" si="0"/>
        <v>52725893</v>
      </c>
      <c r="K13" s="70">
        <f t="shared" si="1"/>
        <v>0</v>
      </c>
    </row>
    <row r="14" spans="1:13" x14ac:dyDescent="0.25">
      <c r="A14" s="6" t="s">
        <v>21</v>
      </c>
      <c r="B14" s="110" t="s">
        <v>94</v>
      </c>
      <c r="C14" s="6" t="s">
        <v>132</v>
      </c>
      <c r="D14" s="70">
        <v>9648680</v>
      </c>
      <c r="E14" s="70"/>
      <c r="F14" s="70"/>
      <c r="G14" s="70"/>
      <c r="H14" s="70"/>
      <c r="I14" s="70"/>
      <c r="J14" s="70">
        <f t="shared" si="0"/>
        <v>9648680</v>
      </c>
      <c r="K14" s="70">
        <f t="shared" si="1"/>
        <v>0</v>
      </c>
    </row>
    <row r="15" spans="1:13" ht="30" x14ac:dyDescent="0.25">
      <c r="A15" s="6" t="s">
        <v>22</v>
      </c>
      <c r="B15" s="110" t="s">
        <v>95</v>
      </c>
      <c r="C15" s="6" t="s">
        <v>133</v>
      </c>
      <c r="D15" s="70">
        <v>1000000</v>
      </c>
      <c r="E15" s="70"/>
      <c r="F15" s="70"/>
      <c r="G15" s="70"/>
      <c r="H15" s="70"/>
      <c r="I15" s="70"/>
      <c r="J15" s="70">
        <f t="shared" si="0"/>
        <v>1000000</v>
      </c>
      <c r="K15" s="70">
        <f t="shared" si="1"/>
        <v>0</v>
      </c>
    </row>
    <row r="16" spans="1:13" x14ac:dyDescent="0.25">
      <c r="A16" s="6" t="s">
        <v>23</v>
      </c>
      <c r="B16" s="110" t="s">
        <v>96</v>
      </c>
      <c r="C16" s="6" t="s">
        <v>134</v>
      </c>
      <c r="D16" s="70">
        <v>0</v>
      </c>
      <c r="E16" s="70"/>
      <c r="F16" s="70"/>
      <c r="G16" s="70"/>
      <c r="H16" s="70"/>
      <c r="I16" s="70"/>
      <c r="J16" s="70">
        <f t="shared" si="0"/>
        <v>0</v>
      </c>
      <c r="K16" s="70">
        <f t="shared" si="1"/>
        <v>0</v>
      </c>
    </row>
    <row r="17" spans="1:11" x14ac:dyDescent="0.25">
      <c r="A17" s="6" t="s">
        <v>24</v>
      </c>
      <c r="B17" s="52" t="s">
        <v>138</v>
      </c>
      <c r="C17" s="31" t="s">
        <v>197</v>
      </c>
      <c r="D17" s="71">
        <f>SUM(D10:D16)</f>
        <v>539453225</v>
      </c>
      <c r="E17" s="71">
        <f t="shared" ref="E17:K17" si="2">SUM(E10:E16)</f>
        <v>0</v>
      </c>
      <c r="F17" s="71">
        <f t="shared" si="2"/>
        <v>0</v>
      </c>
      <c r="G17" s="71">
        <f t="shared" si="2"/>
        <v>0</v>
      </c>
      <c r="H17" s="71">
        <f t="shared" si="2"/>
        <v>0</v>
      </c>
      <c r="I17" s="71">
        <f t="shared" si="2"/>
        <v>0</v>
      </c>
      <c r="J17" s="71">
        <f t="shared" si="2"/>
        <v>539453225</v>
      </c>
      <c r="K17" s="71">
        <f t="shared" si="2"/>
        <v>0</v>
      </c>
    </row>
    <row r="18" spans="1:11" x14ac:dyDescent="0.25">
      <c r="A18" s="6" t="s">
        <v>25</v>
      </c>
      <c r="B18" s="8" t="s">
        <v>97</v>
      </c>
      <c r="C18" s="6" t="s">
        <v>139</v>
      </c>
      <c r="D18" s="70">
        <v>0</v>
      </c>
      <c r="E18" s="70"/>
      <c r="F18" s="70"/>
      <c r="G18" s="70"/>
      <c r="H18" s="70"/>
      <c r="I18" s="70"/>
      <c r="J18" s="70">
        <f t="shared" si="0"/>
        <v>0</v>
      </c>
      <c r="K18" s="70">
        <f t="shared" si="1"/>
        <v>0</v>
      </c>
    </row>
    <row r="19" spans="1:11" ht="30" x14ac:dyDescent="0.25">
      <c r="A19" s="6" t="s">
        <v>26</v>
      </c>
      <c r="B19" s="8" t="s">
        <v>98</v>
      </c>
      <c r="C19" s="6" t="s">
        <v>140</v>
      </c>
      <c r="D19" s="70">
        <v>0</v>
      </c>
      <c r="E19" s="70"/>
      <c r="F19" s="70"/>
      <c r="G19" s="70"/>
      <c r="H19" s="70"/>
      <c r="I19" s="70"/>
      <c r="J19" s="70">
        <f t="shared" si="0"/>
        <v>0</v>
      </c>
      <c r="K19" s="70">
        <f t="shared" si="1"/>
        <v>0</v>
      </c>
    </row>
    <row r="20" spans="1:11" ht="30" x14ac:dyDescent="0.25">
      <c r="A20" s="6" t="s">
        <v>27</v>
      </c>
      <c r="B20" s="8" t="s">
        <v>99</v>
      </c>
      <c r="C20" s="6" t="s">
        <v>141</v>
      </c>
      <c r="D20" s="70">
        <v>0</v>
      </c>
      <c r="E20" s="70"/>
      <c r="F20" s="70"/>
      <c r="G20" s="70"/>
      <c r="H20" s="70"/>
      <c r="I20" s="70"/>
      <c r="J20" s="70">
        <f t="shared" si="0"/>
        <v>0</v>
      </c>
      <c r="K20" s="70">
        <f t="shared" si="1"/>
        <v>0</v>
      </c>
    </row>
    <row r="21" spans="1:11" ht="30" x14ac:dyDescent="0.25">
      <c r="A21" s="6" t="s">
        <v>28</v>
      </c>
      <c r="B21" s="8" t="s">
        <v>690</v>
      </c>
      <c r="C21" s="6" t="s">
        <v>142</v>
      </c>
      <c r="D21" s="70">
        <v>0</v>
      </c>
      <c r="E21" s="70"/>
      <c r="F21" s="70"/>
      <c r="G21" s="70"/>
      <c r="H21" s="70"/>
      <c r="I21" s="70"/>
      <c r="J21" s="70">
        <f t="shared" si="0"/>
        <v>0</v>
      </c>
      <c r="K21" s="70">
        <f t="shared" si="1"/>
        <v>0</v>
      </c>
    </row>
    <row r="22" spans="1:11" ht="30" x14ac:dyDescent="0.25">
      <c r="A22" s="6" t="s">
        <v>29</v>
      </c>
      <c r="B22" s="8" t="s">
        <v>100</v>
      </c>
      <c r="C22" s="6" t="s">
        <v>143</v>
      </c>
      <c r="D22" s="70">
        <f>19680000+1499995+6964285+627948+19777299</f>
        <v>48549527</v>
      </c>
      <c r="E22" s="70"/>
      <c r="F22" s="70"/>
      <c r="G22" s="70"/>
      <c r="H22" s="70"/>
      <c r="I22" s="70"/>
      <c r="J22" s="70">
        <f t="shared" si="0"/>
        <v>48549527</v>
      </c>
      <c r="K22" s="70">
        <f t="shared" si="1"/>
        <v>0</v>
      </c>
    </row>
    <row r="23" spans="1:11" ht="30" x14ac:dyDescent="0.25">
      <c r="A23" s="6" t="s">
        <v>30</v>
      </c>
      <c r="B23" s="52" t="s">
        <v>150</v>
      </c>
      <c r="C23" s="31" t="s">
        <v>198</v>
      </c>
      <c r="D23" s="71">
        <f>SUM(D18:D22)</f>
        <v>48549527</v>
      </c>
      <c r="E23" s="71">
        <f t="shared" ref="E23:K23" si="3">SUM(E18:E22)</f>
        <v>0</v>
      </c>
      <c r="F23" s="71">
        <f t="shared" si="3"/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1">
        <f t="shared" si="3"/>
        <v>48549527</v>
      </c>
      <c r="K23" s="71">
        <f t="shared" si="3"/>
        <v>0</v>
      </c>
    </row>
    <row r="24" spans="1:11" x14ac:dyDescent="0.25">
      <c r="A24" s="6" t="s">
        <v>31</v>
      </c>
      <c r="B24" s="8" t="s">
        <v>101</v>
      </c>
      <c r="C24" s="6" t="s">
        <v>144</v>
      </c>
      <c r="D24" s="70"/>
      <c r="E24" s="70"/>
      <c r="F24" s="70"/>
      <c r="G24" s="70"/>
      <c r="H24" s="70"/>
      <c r="I24" s="70"/>
      <c r="J24" s="70">
        <f t="shared" si="0"/>
        <v>0</v>
      </c>
      <c r="K24" s="70">
        <f t="shared" si="1"/>
        <v>0</v>
      </c>
    </row>
    <row r="25" spans="1:11" ht="30" x14ac:dyDescent="0.25">
      <c r="A25" s="6" t="s">
        <v>32</v>
      </c>
      <c r="B25" s="8" t="s">
        <v>102</v>
      </c>
      <c r="C25" s="6" t="s">
        <v>145</v>
      </c>
      <c r="D25" s="70"/>
      <c r="E25" s="70"/>
      <c r="F25" s="70"/>
      <c r="G25" s="70"/>
      <c r="H25" s="70"/>
      <c r="I25" s="70"/>
      <c r="J25" s="70">
        <f t="shared" si="0"/>
        <v>0</v>
      </c>
      <c r="K25" s="70">
        <f t="shared" si="1"/>
        <v>0</v>
      </c>
    </row>
    <row r="26" spans="1:11" ht="30" x14ac:dyDescent="0.25">
      <c r="A26" s="6" t="s">
        <v>33</v>
      </c>
      <c r="B26" s="8" t="s">
        <v>103</v>
      </c>
      <c r="C26" s="6" t="s">
        <v>146</v>
      </c>
      <c r="D26" s="70"/>
      <c r="E26" s="70"/>
      <c r="F26" s="70"/>
      <c r="G26" s="70"/>
      <c r="H26" s="70"/>
      <c r="I26" s="70"/>
      <c r="J26" s="70">
        <f t="shared" si="0"/>
        <v>0</v>
      </c>
      <c r="K26" s="70">
        <f t="shared" si="1"/>
        <v>0</v>
      </c>
    </row>
    <row r="27" spans="1:11" ht="30" x14ac:dyDescent="0.25">
      <c r="A27" s="6" t="s">
        <v>34</v>
      </c>
      <c r="B27" s="8" t="s">
        <v>104</v>
      </c>
      <c r="C27" s="6" t="s">
        <v>147</v>
      </c>
      <c r="D27" s="70"/>
      <c r="E27" s="70"/>
      <c r="F27" s="70"/>
      <c r="G27" s="70"/>
      <c r="H27" s="70"/>
      <c r="I27" s="70"/>
      <c r="J27" s="70">
        <f t="shared" si="0"/>
        <v>0</v>
      </c>
      <c r="K27" s="70">
        <f t="shared" si="1"/>
        <v>0</v>
      </c>
    </row>
    <row r="28" spans="1:11" ht="30" x14ac:dyDescent="0.25">
      <c r="A28" s="6" t="s">
        <v>35</v>
      </c>
      <c r="B28" s="8" t="s">
        <v>105</v>
      </c>
      <c r="C28" s="6" t="s">
        <v>148</v>
      </c>
      <c r="D28" s="70">
        <v>520045733</v>
      </c>
      <c r="E28" s="70"/>
      <c r="F28" s="70"/>
      <c r="G28" s="70"/>
      <c r="H28" s="70"/>
      <c r="I28" s="70"/>
      <c r="J28" s="70">
        <f t="shared" si="0"/>
        <v>520045733</v>
      </c>
      <c r="K28" s="70">
        <f t="shared" si="1"/>
        <v>0</v>
      </c>
    </row>
    <row r="29" spans="1:11" ht="30" x14ac:dyDescent="0.25">
      <c r="A29" s="6" t="s">
        <v>36</v>
      </c>
      <c r="B29" s="52" t="s">
        <v>149</v>
      </c>
      <c r="C29" s="31" t="s">
        <v>168</v>
      </c>
      <c r="D29" s="71">
        <f>SUM(D24:D28)</f>
        <v>520045733</v>
      </c>
      <c r="E29" s="71">
        <f t="shared" ref="E29:K29" si="4">SUM(E24:E28)</f>
        <v>0</v>
      </c>
      <c r="F29" s="71">
        <f t="shared" si="4"/>
        <v>0</v>
      </c>
      <c r="G29" s="71">
        <f t="shared" si="4"/>
        <v>0</v>
      </c>
      <c r="H29" s="71">
        <f t="shared" si="4"/>
        <v>0</v>
      </c>
      <c r="I29" s="71">
        <f t="shared" si="4"/>
        <v>0</v>
      </c>
      <c r="J29" s="71">
        <f t="shared" si="4"/>
        <v>520045733</v>
      </c>
      <c r="K29" s="71">
        <f t="shared" si="4"/>
        <v>0</v>
      </c>
    </row>
    <row r="30" spans="1:11" x14ac:dyDescent="0.25">
      <c r="A30" s="6" t="s">
        <v>37</v>
      </c>
      <c r="B30" s="92" t="s">
        <v>106</v>
      </c>
      <c r="C30" s="6" t="s">
        <v>152</v>
      </c>
      <c r="D30" s="70">
        <v>15000000</v>
      </c>
      <c r="E30" s="70"/>
      <c r="F30" s="70"/>
      <c r="G30" s="70"/>
      <c r="H30" s="70"/>
      <c r="I30" s="70"/>
      <c r="J30" s="70">
        <f t="shared" si="0"/>
        <v>15000000</v>
      </c>
      <c r="K30" s="70">
        <f t="shared" si="1"/>
        <v>0</v>
      </c>
    </row>
    <row r="31" spans="1:11" x14ac:dyDescent="0.25">
      <c r="A31" s="6" t="s">
        <v>38</v>
      </c>
      <c r="B31" s="92" t="s">
        <v>107</v>
      </c>
      <c r="C31" s="6" t="s">
        <v>153</v>
      </c>
      <c r="D31" s="70">
        <v>172000000</v>
      </c>
      <c r="E31" s="70"/>
      <c r="F31" s="70"/>
      <c r="G31" s="70"/>
      <c r="H31" s="70"/>
      <c r="I31" s="70"/>
      <c r="J31" s="70">
        <f t="shared" si="0"/>
        <v>172000000</v>
      </c>
      <c r="K31" s="70">
        <f t="shared" si="1"/>
        <v>0</v>
      </c>
    </row>
    <row r="32" spans="1:11" x14ac:dyDescent="0.25">
      <c r="A32" s="6" t="s">
        <v>39</v>
      </c>
      <c r="B32" s="92" t="s">
        <v>108</v>
      </c>
      <c r="C32" s="6" t="s">
        <v>154</v>
      </c>
      <c r="D32" s="70">
        <v>1500000</v>
      </c>
      <c r="E32" s="70"/>
      <c r="F32" s="70"/>
      <c r="G32" s="70"/>
      <c r="H32" s="70"/>
      <c r="I32" s="70"/>
      <c r="J32" s="70">
        <f t="shared" si="0"/>
        <v>1500000</v>
      </c>
      <c r="K32" s="70">
        <f t="shared" si="1"/>
        <v>0</v>
      </c>
    </row>
    <row r="33" spans="1:11" x14ac:dyDescent="0.25">
      <c r="A33" s="6" t="s">
        <v>40</v>
      </c>
      <c r="B33" s="52" t="s">
        <v>151</v>
      </c>
      <c r="C33" s="31" t="s">
        <v>169</v>
      </c>
      <c r="D33" s="71">
        <f>SUM(D30:D32)</f>
        <v>188500000</v>
      </c>
      <c r="E33" s="71">
        <f t="shared" ref="E33:K33" si="5">SUM(E30:E32)</f>
        <v>0</v>
      </c>
      <c r="F33" s="71">
        <f t="shared" si="5"/>
        <v>0</v>
      </c>
      <c r="G33" s="71">
        <f t="shared" si="5"/>
        <v>0</v>
      </c>
      <c r="H33" s="71">
        <f t="shared" si="5"/>
        <v>0</v>
      </c>
      <c r="I33" s="71">
        <f t="shared" si="5"/>
        <v>0</v>
      </c>
      <c r="J33" s="71">
        <f t="shared" si="5"/>
        <v>188500000</v>
      </c>
      <c r="K33" s="71">
        <f t="shared" si="5"/>
        <v>0</v>
      </c>
    </row>
    <row r="34" spans="1:11" x14ac:dyDescent="0.25">
      <c r="A34" s="6" t="s">
        <v>41</v>
      </c>
      <c r="B34" s="7" t="s">
        <v>109</v>
      </c>
      <c r="C34" s="6" t="s">
        <v>155</v>
      </c>
      <c r="D34" s="70">
        <v>0</v>
      </c>
      <c r="E34" s="70"/>
      <c r="F34" s="70"/>
      <c r="G34" s="70"/>
      <c r="H34" s="70"/>
      <c r="I34" s="70"/>
      <c r="J34" s="70">
        <f t="shared" si="0"/>
        <v>0</v>
      </c>
      <c r="K34" s="70">
        <f t="shared" si="1"/>
        <v>0</v>
      </c>
    </row>
    <row r="35" spans="1:11" x14ac:dyDescent="0.25">
      <c r="A35" s="6" t="s">
        <v>42</v>
      </c>
      <c r="B35" s="7" t="s">
        <v>110</v>
      </c>
      <c r="C35" s="6" t="s">
        <v>156</v>
      </c>
      <c r="D35" s="70">
        <v>20000000</v>
      </c>
      <c r="E35" s="70"/>
      <c r="F35" s="70"/>
      <c r="G35" s="70"/>
      <c r="H35" s="70"/>
      <c r="I35" s="70"/>
      <c r="J35" s="70">
        <f t="shared" si="0"/>
        <v>20000000</v>
      </c>
      <c r="K35" s="70">
        <f t="shared" si="1"/>
        <v>0</v>
      </c>
    </row>
    <row r="36" spans="1:11" x14ac:dyDescent="0.25">
      <c r="A36" s="6" t="s">
        <v>60</v>
      </c>
      <c r="B36" s="7" t="s">
        <v>111</v>
      </c>
      <c r="C36" s="6" t="s">
        <v>157</v>
      </c>
      <c r="D36" s="70">
        <v>4000000</v>
      </c>
      <c r="E36" s="70"/>
      <c r="F36" s="70"/>
      <c r="G36" s="70"/>
      <c r="H36" s="70"/>
      <c r="I36" s="70"/>
      <c r="J36" s="70">
        <f t="shared" si="0"/>
        <v>4000000</v>
      </c>
      <c r="K36" s="70">
        <f t="shared" si="1"/>
        <v>0</v>
      </c>
    </row>
    <row r="37" spans="1:11" x14ac:dyDescent="0.25">
      <c r="A37" s="6" t="s">
        <v>61</v>
      </c>
      <c r="B37" s="7" t="s">
        <v>112</v>
      </c>
      <c r="C37" s="6" t="s">
        <v>158</v>
      </c>
      <c r="D37" s="70">
        <v>0</v>
      </c>
      <c r="E37" s="70"/>
      <c r="F37" s="70"/>
      <c r="G37" s="70"/>
      <c r="H37" s="70"/>
      <c r="I37" s="70"/>
      <c r="J37" s="70">
        <f t="shared" si="0"/>
        <v>0</v>
      </c>
      <c r="K37" s="70">
        <f t="shared" si="1"/>
        <v>0</v>
      </c>
    </row>
    <row r="38" spans="1:11" x14ac:dyDescent="0.25">
      <c r="A38" s="6" t="s">
        <v>62</v>
      </c>
      <c r="B38" s="7" t="s">
        <v>113</v>
      </c>
      <c r="C38" s="6" t="s">
        <v>159</v>
      </c>
      <c r="D38" s="70">
        <v>4898338</v>
      </c>
      <c r="E38" s="70"/>
      <c r="F38" s="70"/>
      <c r="G38" s="70"/>
      <c r="H38" s="70">
        <v>2923794</v>
      </c>
      <c r="I38" s="70"/>
      <c r="J38" s="70">
        <f t="shared" si="0"/>
        <v>7822132</v>
      </c>
      <c r="K38" s="70">
        <f t="shared" si="1"/>
        <v>0</v>
      </c>
    </row>
    <row r="39" spans="1:11" x14ac:dyDescent="0.25">
      <c r="A39" s="6" t="s">
        <v>63</v>
      </c>
      <c r="B39" s="7" t="s">
        <v>114</v>
      </c>
      <c r="C39" s="6" t="s">
        <v>160</v>
      </c>
      <c r="D39" s="70">
        <f>1322551+1000000</f>
        <v>2322551</v>
      </c>
      <c r="E39" s="70"/>
      <c r="F39" s="70"/>
      <c r="G39" s="70"/>
      <c r="H39" s="70"/>
      <c r="I39" s="70"/>
      <c r="J39" s="70">
        <f t="shared" si="0"/>
        <v>2322551</v>
      </c>
      <c r="K39" s="70">
        <f t="shared" si="1"/>
        <v>0</v>
      </c>
    </row>
    <row r="40" spans="1:11" x14ac:dyDescent="0.25">
      <c r="A40" s="6" t="s">
        <v>64</v>
      </c>
      <c r="B40" s="7" t="s">
        <v>115</v>
      </c>
      <c r="C40" s="6" t="s">
        <v>161</v>
      </c>
      <c r="D40" s="70">
        <v>0</v>
      </c>
      <c r="E40" s="70"/>
      <c r="F40" s="70"/>
      <c r="G40" s="70"/>
      <c r="H40" s="70"/>
      <c r="I40" s="70"/>
      <c r="J40" s="70">
        <f t="shared" si="0"/>
        <v>0</v>
      </c>
      <c r="K40" s="70">
        <f t="shared" si="1"/>
        <v>0</v>
      </c>
    </row>
    <row r="41" spans="1:11" x14ac:dyDescent="0.25">
      <c r="A41" s="6" t="s">
        <v>65</v>
      </c>
      <c r="B41" s="7" t="s">
        <v>116</v>
      </c>
      <c r="C41" s="6" t="s">
        <v>163</v>
      </c>
      <c r="D41" s="70"/>
      <c r="E41" s="70"/>
      <c r="F41" s="70"/>
      <c r="G41" s="70"/>
      <c r="H41" s="70"/>
      <c r="I41" s="70"/>
      <c r="J41" s="70">
        <f t="shared" si="0"/>
        <v>0</v>
      </c>
      <c r="K41" s="70">
        <f t="shared" si="1"/>
        <v>0</v>
      </c>
    </row>
    <row r="42" spans="1:11" x14ac:dyDescent="0.25">
      <c r="A42" s="6" t="s">
        <v>66</v>
      </c>
      <c r="B42" s="7" t="s">
        <v>117</v>
      </c>
      <c r="C42" s="6" t="s">
        <v>162</v>
      </c>
      <c r="D42" s="70">
        <v>20000</v>
      </c>
      <c r="E42" s="70"/>
      <c r="F42" s="70">
        <v>200</v>
      </c>
      <c r="G42" s="70"/>
      <c r="H42" s="70">
        <v>200</v>
      </c>
      <c r="I42" s="70"/>
      <c r="J42" s="70">
        <f t="shared" si="0"/>
        <v>20400</v>
      </c>
      <c r="K42" s="70">
        <f t="shared" si="1"/>
        <v>0</v>
      </c>
    </row>
    <row r="43" spans="1:11" x14ac:dyDescent="0.25">
      <c r="A43" s="6" t="s">
        <v>67</v>
      </c>
      <c r="B43" s="7" t="s">
        <v>118</v>
      </c>
      <c r="C43" s="6" t="s">
        <v>164</v>
      </c>
      <c r="D43" s="70"/>
      <c r="E43" s="70"/>
      <c r="F43" s="70"/>
      <c r="G43" s="70"/>
      <c r="H43" s="70"/>
      <c r="I43" s="70"/>
      <c r="J43" s="70">
        <f t="shared" si="0"/>
        <v>0</v>
      </c>
      <c r="K43" s="70">
        <f t="shared" si="1"/>
        <v>0</v>
      </c>
    </row>
    <row r="44" spans="1:11" x14ac:dyDescent="0.25">
      <c r="A44" s="6" t="s">
        <v>68</v>
      </c>
      <c r="B44" s="7" t="s">
        <v>119</v>
      </c>
      <c r="C44" s="6" t="s">
        <v>165</v>
      </c>
      <c r="D44" s="70">
        <f>68860000-D77</f>
        <v>1792632</v>
      </c>
      <c r="E44" s="70"/>
      <c r="F44" s="70"/>
      <c r="G44" s="70"/>
      <c r="H44" s="70"/>
      <c r="I44" s="70"/>
      <c r="J44" s="70">
        <f t="shared" si="0"/>
        <v>1792632</v>
      </c>
      <c r="K44" s="70">
        <f t="shared" si="1"/>
        <v>0</v>
      </c>
    </row>
    <row r="45" spans="1:11" x14ac:dyDescent="0.25">
      <c r="A45" s="6" t="s">
        <v>69</v>
      </c>
      <c r="B45" s="7" t="s">
        <v>120</v>
      </c>
      <c r="C45" s="6" t="s">
        <v>166</v>
      </c>
      <c r="D45" s="70">
        <v>0</v>
      </c>
      <c r="E45" s="70"/>
      <c r="F45" s="70"/>
      <c r="G45" s="70"/>
      <c r="H45" s="70"/>
      <c r="I45" s="70"/>
      <c r="J45" s="70">
        <f t="shared" si="0"/>
        <v>0</v>
      </c>
      <c r="K45" s="70">
        <f t="shared" si="1"/>
        <v>0</v>
      </c>
    </row>
    <row r="46" spans="1:11" x14ac:dyDescent="0.25">
      <c r="A46" s="6" t="s">
        <v>70</v>
      </c>
      <c r="B46" s="7" t="s">
        <v>121</v>
      </c>
      <c r="C46" s="6" t="s">
        <v>167</v>
      </c>
      <c r="D46" s="70">
        <v>2800000</v>
      </c>
      <c r="E46" s="70"/>
      <c r="F46" s="70">
        <v>140000</v>
      </c>
      <c r="G46" s="70"/>
      <c r="H46" s="70"/>
      <c r="I46" s="70"/>
      <c r="J46" s="70">
        <f t="shared" si="0"/>
        <v>2940000</v>
      </c>
      <c r="K46" s="70">
        <f t="shared" si="1"/>
        <v>0</v>
      </c>
    </row>
    <row r="47" spans="1:11" x14ac:dyDescent="0.25">
      <c r="A47" s="6" t="s">
        <v>71</v>
      </c>
      <c r="B47" s="43" t="s">
        <v>172</v>
      </c>
      <c r="C47" s="31" t="s">
        <v>170</v>
      </c>
      <c r="D47" s="71">
        <f>SUM(D34:D46)</f>
        <v>35833521</v>
      </c>
      <c r="E47" s="71">
        <f t="shared" ref="E47:K47" si="6">SUM(E34:E46)</f>
        <v>0</v>
      </c>
      <c r="F47" s="71">
        <f t="shared" si="6"/>
        <v>140200</v>
      </c>
      <c r="G47" s="71">
        <f t="shared" si="6"/>
        <v>0</v>
      </c>
      <c r="H47" s="71">
        <f t="shared" si="6"/>
        <v>2923994</v>
      </c>
      <c r="I47" s="71">
        <f t="shared" si="6"/>
        <v>0</v>
      </c>
      <c r="J47" s="71">
        <f t="shared" si="6"/>
        <v>38897715</v>
      </c>
      <c r="K47" s="71">
        <f t="shared" si="6"/>
        <v>0</v>
      </c>
    </row>
    <row r="48" spans="1:11" x14ac:dyDescent="0.25">
      <c r="A48" s="6" t="s">
        <v>72</v>
      </c>
      <c r="B48" s="7" t="s">
        <v>122</v>
      </c>
      <c r="C48" s="6" t="s">
        <v>173</v>
      </c>
      <c r="D48" s="70">
        <v>0</v>
      </c>
      <c r="E48" s="70"/>
      <c r="F48" s="70">
        <v>0</v>
      </c>
      <c r="G48" s="70"/>
      <c r="H48" s="70">
        <v>0</v>
      </c>
      <c r="I48" s="70"/>
      <c r="J48" s="70">
        <f t="shared" si="0"/>
        <v>0</v>
      </c>
      <c r="K48" s="70">
        <f t="shared" si="1"/>
        <v>0</v>
      </c>
    </row>
    <row r="49" spans="1:11" x14ac:dyDescent="0.25">
      <c r="A49" s="6" t="s">
        <v>73</v>
      </c>
      <c r="B49" s="7" t="s">
        <v>123</v>
      </c>
      <c r="C49" s="6" t="s">
        <v>174</v>
      </c>
      <c r="D49" s="70">
        <f>14311200+63000000</f>
        <v>77311200</v>
      </c>
      <c r="E49" s="70"/>
      <c r="F49" s="70">
        <v>0</v>
      </c>
      <c r="G49" s="70"/>
      <c r="H49" s="70">
        <v>0</v>
      </c>
      <c r="I49" s="70"/>
      <c r="J49" s="70">
        <f t="shared" si="0"/>
        <v>77311200</v>
      </c>
      <c r="K49" s="70">
        <f t="shared" si="1"/>
        <v>0</v>
      </c>
    </row>
    <row r="50" spans="1:11" x14ac:dyDescent="0.25">
      <c r="A50" s="6" t="s">
        <v>74</v>
      </c>
      <c r="B50" s="7" t="s">
        <v>124</v>
      </c>
      <c r="C50" s="6" t="s">
        <v>175</v>
      </c>
      <c r="D50" s="70">
        <v>0</v>
      </c>
      <c r="E50" s="70"/>
      <c r="F50" s="70">
        <v>0</v>
      </c>
      <c r="G50" s="70"/>
      <c r="H50" s="70">
        <v>0</v>
      </c>
      <c r="I50" s="70"/>
      <c r="J50" s="70">
        <f t="shared" si="0"/>
        <v>0</v>
      </c>
      <c r="K50" s="70">
        <f t="shared" si="1"/>
        <v>0</v>
      </c>
    </row>
    <row r="51" spans="1:11" x14ac:dyDescent="0.25">
      <c r="A51" s="6" t="s">
        <v>75</v>
      </c>
      <c r="B51" s="7" t="s">
        <v>125</v>
      </c>
      <c r="C51" s="6" t="s">
        <v>176</v>
      </c>
      <c r="D51" s="70">
        <v>0</v>
      </c>
      <c r="E51" s="70"/>
      <c r="F51" s="70">
        <v>0</v>
      </c>
      <c r="G51" s="70"/>
      <c r="H51" s="70">
        <v>0</v>
      </c>
      <c r="I51" s="70"/>
      <c r="J51" s="70">
        <f t="shared" si="0"/>
        <v>0</v>
      </c>
      <c r="K51" s="70">
        <f t="shared" si="1"/>
        <v>0</v>
      </c>
    </row>
    <row r="52" spans="1:11" x14ac:dyDescent="0.25">
      <c r="A52" s="6" t="s">
        <v>76</v>
      </c>
      <c r="B52" s="7" t="s">
        <v>126</v>
      </c>
      <c r="C52" s="6" t="s">
        <v>177</v>
      </c>
      <c r="D52" s="70">
        <v>0</v>
      </c>
      <c r="E52" s="70"/>
      <c r="F52" s="70">
        <v>0</v>
      </c>
      <c r="G52" s="70"/>
      <c r="H52" s="70">
        <v>0</v>
      </c>
      <c r="I52" s="70"/>
      <c r="J52" s="70">
        <f t="shared" si="0"/>
        <v>0</v>
      </c>
      <c r="K52" s="70">
        <f t="shared" si="1"/>
        <v>0</v>
      </c>
    </row>
    <row r="53" spans="1:11" x14ac:dyDescent="0.25">
      <c r="A53" s="6" t="s">
        <v>77</v>
      </c>
      <c r="B53" s="43" t="s">
        <v>199</v>
      </c>
      <c r="C53" s="31" t="s">
        <v>171</v>
      </c>
      <c r="D53" s="71">
        <f>SUM(D48:D52)</f>
        <v>77311200</v>
      </c>
      <c r="E53" s="71">
        <f t="shared" ref="E53:K53" si="7">SUM(E48:E52)</f>
        <v>0</v>
      </c>
      <c r="F53" s="71">
        <f t="shared" si="7"/>
        <v>0</v>
      </c>
      <c r="G53" s="71">
        <f t="shared" si="7"/>
        <v>0</v>
      </c>
      <c r="H53" s="71">
        <f t="shared" si="7"/>
        <v>0</v>
      </c>
      <c r="I53" s="71">
        <f t="shared" si="7"/>
        <v>0</v>
      </c>
      <c r="J53" s="71">
        <f t="shared" si="7"/>
        <v>77311200</v>
      </c>
      <c r="K53" s="71">
        <f t="shared" si="7"/>
        <v>0</v>
      </c>
    </row>
    <row r="54" spans="1:11" ht="30" x14ac:dyDescent="0.25">
      <c r="A54" s="6" t="s">
        <v>78</v>
      </c>
      <c r="B54" s="8" t="s">
        <v>127</v>
      </c>
      <c r="C54" s="6" t="s">
        <v>185</v>
      </c>
      <c r="D54" s="70">
        <v>0</v>
      </c>
      <c r="E54" s="70"/>
      <c r="F54" s="70"/>
      <c r="G54" s="70"/>
      <c r="H54" s="70"/>
      <c r="I54" s="70"/>
      <c r="J54" s="70">
        <f t="shared" si="0"/>
        <v>0</v>
      </c>
      <c r="K54" s="70">
        <f t="shared" si="1"/>
        <v>0</v>
      </c>
    </row>
    <row r="55" spans="1:11" ht="30" x14ac:dyDescent="0.25">
      <c r="A55" s="6" t="s">
        <v>79</v>
      </c>
      <c r="B55" s="8" t="s">
        <v>128</v>
      </c>
      <c r="C55" s="6" t="s">
        <v>186</v>
      </c>
      <c r="D55" s="70">
        <v>0</v>
      </c>
      <c r="E55" s="70"/>
      <c r="F55" s="70"/>
      <c r="G55" s="70"/>
      <c r="H55" s="70"/>
      <c r="I55" s="70"/>
      <c r="J55" s="70">
        <f t="shared" si="0"/>
        <v>0</v>
      </c>
      <c r="K55" s="70">
        <f t="shared" si="1"/>
        <v>0</v>
      </c>
    </row>
    <row r="56" spans="1:11" ht="30" x14ac:dyDescent="0.25">
      <c r="A56" s="6" t="s">
        <v>80</v>
      </c>
      <c r="B56" s="8" t="s">
        <v>691</v>
      </c>
      <c r="C56" s="6" t="s">
        <v>187</v>
      </c>
      <c r="D56" s="70">
        <v>0</v>
      </c>
      <c r="E56" s="70"/>
      <c r="F56" s="70"/>
      <c r="G56" s="70"/>
      <c r="H56" s="70"/>
      <c r="I56" s="70"/>
      <c r="J56" s="70">
        <f t="shared" si="0"/>
        <v>0</v>
      </c>
      <c r="K56" s="70">
        <f t="shared" si="1"/>
        <v>0</v>
      </c>
    </row>
    <row r="57" spans="1:11" ht="30" x14ac:dyDescent="0.25">
      <c r="A57" s="6" t="s">
        <v>81</v>
      </c>
      <c r="B57" s="8" t="s">
        <v>692</v>
      </c>
      <c r="C57" s="6" t="s">
        <v>178</v>
      </c>
      <c r="D57" s="70">
        <v>500000</v>
      </c>
      <c r="E57" s="70"/>
      <c r="F57" s="70"/>
      <c r="G57" s="70"/>
      <c r="H57" s="70"/>
      <c r="I57" s="70"/>
      <c r="J57" s="70">
        <f t="shared" si="0"/>
        <v>500000</v>
      </c>
      <c r="K57" s="70">
        <f t="shared" si="1"/>
        <v>0</v>
      </c>
    </row>
    <row r="58" spans="1:11" x14ac:dyDescent="0.25">
      <c r="A58" s="6" t="s">
        <v>82</v>
      </c>
      <c r="B58" s="8" t="s">
        <v>129</v>
      </c>
      <c r="C58" s="6" t="s">
        <v>184</v>
      </c>
      <c r="D58" s="70">
        <v>0</v>
      </c>
      <c r="E58" s="70"/>
      <c r="F58" s="70"/>
      <c r="G58" s="70"/>
      <c r="H58" s="70"/>
      <c r="I58" s="70"/>
      <c r="J58" s="70">
        <f t="shared" si="0"/>
        <v>0</v>
      </c>
      <c r="K58" s="70">
        <f t="shared" si="1"/>
        <v>0</v>
      </c>
    </row>
    <row r="59" spans="1:11" x14ac:dyDescent="0.25">
      <c r="A59" s="6" t="s">
        <v>83</v>
      </c>
      <c r="B59" s="52" t="s">
        <v>188</v>
      </c>
      <c r="C59" s="31" t="s">
        <v>189</v>
      </c>
      <c r="D59" s="71">
        <f>SUM(D54:D58)</f>
        <v>500000</v>
      </c>
      <c r="E59" s="71">
        <f t="shared" ref="E59:K59" si="8">SUM(E54:E58)</f>
        <v>0</v>
      </c>
      <c r="F59" s="71">
        <f t="shared" si="8"/>
        <v>0</v>
      </c>
      <c r="G59" s="71">
        <f t="shared" si="8"/>
        <v>0</v>
      </c>
      <c r="H59" s="71">
        <f t="shared" si="8"/>
        <v>0</v>
      </c>
      <c r="I59" s="71">
        <f t="shared" si="8"/>
        <v>0</v>
      </c>
      <c r="J59" s="71">
        <f t="shared" si="8"/>
        <v>500000</v>
      </c>
      <c r="K59" s="71">
        <f t="shared" si="8"/>
        <v>0</v>
      </c>
    </row>
    <row r="60" spans="1:11" ht="30" x14ac:dyDescent="0.25">
      <c r="A60" s="6" t="s">
        <v>84</v>
      </c>
      <c r="B60" s="8" t="s">
        <v>190</v>
      </c>
      <c r="C60" s="6" t="s">
        <v>179</v>
      </c>
      <c r="D60" s="70">
        <v>0</v>
      </c>
      <c r="E60" s="70"/>
      <c r="F60" s="70"/>
      <c r="G60" s="70"/>
      <c r="H60" s="70"/>
      <c r="I60" s="70"/>
      <c r="J60" s="70">
        <f t="shared" si="0"/>
        <v>0</v>
      </c>
      <c r="K60" s="70">
        <f t="shared" si="1"/>
        <v>0</v>
      </c>
    </row>
    <row r="61" spans="1:11" ht="30" x14ac:dyDescent="0.25">
      <c r="A61" s="6" t="s">
        <v>85</v>
      </c>
      <c r="B61" s="8" t="s">
        <v>191</v>
      </c>
      <c r="C61" s="6" t="s">
        <v>180</v>
      </c>
      <c r="D61" s="70">
        <v>0</v>
      </c>
      <c r="E61" s="70"/>
      <c r="F61" s="70"/>
      <c r="G61" s="70"/>
      <c r="H61" s="70"/>
      <c r="I61" s="70"/>
      <c r="J61" s="70">
        <f t="shared" si="0"/>
        <v>0</v>
      </c>
      <c r="K61" s="70">
        <f t="shared" si="1"/>
        <v>0</v>
      </c>
    </row>
    <row r="62" spans="1:11" ht="30" x14ac:dyDescent="0.25">
      <c r="A62" s="6" t="s">
        <v>86</v>
      </c>
      <c r="B62" s="8" t="s">
        <v>192</v>
      </c>
      <c r="C62" s="6" t="s">
        <v>181</v>
      </c>
      <c r="D62" s="70">
        <v>0</v>
      </c>
      <c r="E62" s="70"/>
      <c r="F62" s="70"/>
      <c r="G62" s="70"/>
      <c r="H62" s="70"/>
      <c r="I62" s="70"/>
      <c r="J62" s="70">
        <f t="shared" si="0"/>
        <v>0</v>
      </c>
      <c r="K62" s="70">
        <f t="shared" si="1"/>
        <v>0</v>
      </c>
    </row>
    <row r="63" spans="1:11" ht="30" x14ac:dyDescent="0.25">
      <c r="A63" s="6" t="s">
        <v>87</v>
      </c>
      <c r="B63" s="8" t="s">
        <v>193</v>
      </c>
      <c r="C63" s="6" t="s">
        <v>182</v>
      </c>
      <c r="D63" s="70">
        <v>0</v>
      </c>
      <c r="E63" s="70"/>
      <c r="F63" s="70"/>
      <c r="G63" s="70"/>
      <c r="H63" s="70"/>
      <c r="I63" s="70"/>
      <c r="J63" s="70">
        <f t="shared" si="0"/>
        <v>0</v>
      </c>
      <c r="K63" s="70">
        <f t="shared" si="1"/>
        <v>0</v>
      </c>
    </row>
    <row r="64" spans="1:11" x14ac:dyDescent="0.25">
      <c r="A64" s="6" t="s">
        <v>88</v>
      </c>
      <c r="B64" s="8" t="s">
        <v>194</v>
      </c>
      <c r="C64" s="6" t="s">
        <v>183</v>
      </c>
      <c r="D64" s="70">
        <v>10740000</v>
      </c>
      <c r="E64" s="70"/>
      <c r="F64" s="70"/>
      <c r="G64" s="70"/>
      <c r="H64" s="70"/>
      <c r="I64" s="70"/>
      <c r="J64" s="70">
        <f t="shared" si="0"/>
        <v>10740000</v>
      </c>
      <c r="K64" s="70">
        <f t="shared" si="1"/>
        <v>0</v>
      </c>
    </row>
    <row r="65" spans="1:11" x14ac:dyDescent="0.25">
      <c r="A65" s="6" t="s">
        <v>89</v>
      </c>
      <c r="B65" s="52" t="s">
        <v>196</v>
      </c>
      <c r="C65" s="31" t="s">
        <v>195</v>
      </c>
      <c r="D65" s="71">
        <f>SUM(D60:D64)</f>
        <v>10740000</v>
      </c>
      <c r="E65" s="71">
        <f t="shared" ref="E65:K65" si="9">SUM(E60:E64)</f>
        <v>0</v>
      </c>
      <c r="F65" s="71">
        <f t="shared" si="9"/>
        <v>0</v>
      </c>
      <c r="G65" s="71">
        <f t="shared" si="9"/>
        <v>0</v>
      </c>
      <c r="H65" s="71">
        <f t="shared" si="9"/>
        <v>0</v>
      </c>
      <c r="I65" s="71">
        <f t="shared" si="9"/>
        <v>0</v>
      </c>
      <c r="J65" s="71">
        <f t="shared" si="9"/>
        <v>10740000</v>
      </c>
      <c r="K65" s="71">
        <f t="shared" si="9"/>
        <v>0</v>
      </c>
    </row>
    <row r="66" spans="1:11" ht="30" x14ac:dyDescent="0.25">
      <c r="A66" s="6" t="s">
        <v>90</v>
      </c>
      <c r="B66" s="14" t="s">
        <v>577</v>
      </c>
      <c r="C66" s="15" t="s">
        <v>203</v>
      </c>
      <c r="D66" s="72">
        <f>+D17+D23+D29+D33+D47+D53+D59+D65</f>
        <v>1420933206</v>
      </c>
      <c r="E66" s="72">
        <f t="shared" ref="E66:K66" si="10">+E17+E23+E29+E33+E47+E53+E59+E65</f>
        <v>0</v>
      </c>
      <c r="F66" s="72">
        <f t="shared" si="10"/>
        <v>140200</v>
      </c>
      <c r="G66" s="72">
        <f t="shared" si="10"/>
        <v>0</v>
      </c>
      <c r="H66" s="72">
        <f t="shared" si="10"/>
        <v>2923994</v>
      </c>
      <c r="I66" s="72">
        <f t="shared" si="10"/>
        <v>0</v>
      </c>
      <c r="J66" s="72">
        <f t="shared" si="10"/>
        <v>1423997400</v>
      </c>
      <c r="K66" s="72">
        <f t="shared" si="10"/>
        <v>0</v>
      </c>
    </row>
    <row r="68" spans="1:11" ht="18.75" x14ac:dyDescent="0.3">
      <c r="A68" s="119" t="s">
        <v>56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1" x14ac:dyDescent="0.25">
      <c r="A69" s="115" t="s">
        <v>0</v>
      </c>
      <c r="B69" s="6" t="s">
        <v>1</v>
      </c>
      <c r="C69" s="6" t="s">
        <v>2</v>
      </c>
      <c r="D69" s="17" t="s">
        <v>3</v>
      </c>
      <c r="E69" s="18" t="s">
        <v>4</v>
      </c>
      <c r="F69" s="18" t="s">
        <v>5</v>
      </c>
      <c r="G69" s="18" t="s">
        <v>6</v>
      </c>
      <c r="H69" s="18" t="s">
        <v>7</v>
      </c>
      <c r="I69" s="18" t="s">
        <v>8</v>
      </c>
      <c r="J69" s="18" t="s">
        <v>9</v>
      </c>
      <c r="K69" s="18" t="s">
        <v>59</v>
      </c>
    </row>
    <row r="70" spans="1:11" ht="45.75" customHeight="1" x14ac:dyDescent="0.25">
      <c r="A70" s="115"/>
      <c r="B70" s="115" t="s">
        <v>10</v>
      </c>
      <c r="C70" s="115" t="s">
        <v>58</v>
      </c>
      <c r="D70" s="114" t="s">
        <v>16</v>
      </c>
      <c r="E70" s="115"/>
      <c r="F70" s="115" t="s">
        <v>15</v>
      </c>
      <c r="G70" s="115"/>
      <c r="H70" s="115" t="s">
        <v>650</v>
      </c>
      <c r="I70" s="115"/>
      <c r="J70" s="115" t="s">
        <v>43</v>
      </c>
      <c r="K70" s="115"/>
    </row>
    <row r="71" spans="1:11" x14ac:dyDescent="0.25">
      <c r="A71" s="115"/>
      <c r="B71" s="122"/>
      <c r="C71" s="122"/>
      <c r="D71" s="19" t="s">
        <v>11</v>
      </c>
      <c r="E71" s="20" t="s">
        <v>12</v>
      </c>
      <c r="F71" s="20" t="s">
        <v>11</v>
      </c>
      <c r="G71" s="20" t="s">
        <v>12</v>
      </c>
      <c r="H71" s="20" t="s">
        <v>11</v>
      </c>
      <c r="I71" s="20" t="s">
        <v>12</v>
      </c>
      <c r="J71" s="20" t="s">
        <v>11</v>
      </c>
      <c r="K71" s="20" t="s">
        <v>12</v>
      </c>
    </row>
    <row r="72" spans="1:11" x14ac:dyDescent="0.25">
      <c r="A72" s="115"/>
      <c r="B72" s="122"/>
      <c r="C72" s="122"/>
      <c r="D72" s="116" t="s">
        <v>13</v>
      </c>
      <c r="E72" s="117"/>
      <c r="F72" s="118" t="s">
        <v>13</v>
      </c>
      <c r="G72" s="118"/>
      <c r="H72" s="118" t="s">
        <v>13</v>
      </c>
      <c r="I72" s="118"/>
      <c r="J72" s="118" t="s">
        <v>13</v>
      </c>
      <c r="K72" s="118"/>
    </row>
    <row r="73" spans="1:11" ht="30" x14ac:dyDescent="0.25">
      <c r="A73" s="13" t="s">
        <v>242</v>
      </c>
      <c r="B73" s="8" t="s">
        <v>204</v>
      </c>
      <c r="C73" s="6" t="s">
        <v>217</v>
      </c>
      <c r="D73" s="70"/>
      <c r="E73" s="70"/>
      <c r="F73" s="70"/>
      <c r="G73" s="70"/>
      <c r="H73" s="70"/>
      <c r="I73" s="70"/>
      <c r="J73" s="70">
        <f t="shared" ref="J73:K88" si="11">+D73+F73+H73</f>
        <v>0</v>
      </c>
      <c r="K73" s="70">
        <f t="shared" si="11"/>
        <v>0</v>
      </c>
    </row>
    <row r="74" spans="1:11" ht="30" x14ac:dyDescent="0.25">
      <c r="A74" s="13" t="s">
        <v>243</v>
      </c>
      <c r="B74" s="8" t="s">
        <v>205</v>
      </c>
      <c r="C74" s="6" t="s">
        <v>218</v>
      </c>
      <c r="D74" s="70"/>
      <c r="E74" s="70"/>
      <c r="F74" s="70"/>
      <c r="G74" s="70"/>
      <c r="H74" s="70"/>
      <c r="I74" s="70"/>
      <c r="J74" s="70">
        <f t="shared" si="11"/>
        <v>0</v>
      </c>
      <c r="K74" s="70">
        <f t="shared" si="11"/>
        <v>0</v>
      </c>
    </row>
    <row r="75" spans="1:11" ht="30" x14ac:dyDescent="0.25">
      <c r="A75" s="13" t="s">
        <v>244</v>
      </c>
      <c r="B75" s="8" t="s">
        <v>206</v>
      </c>
      <c r="C75" s="6" t="s">
        <v>219</v>
      </c>
      <c r="D75" s="70"/>
      <c r="E75" s="70"/>
      <c r="F75" s="70"/>
      <c r="G75" s="70"/>
      <c r="H75" s="70"/>
      <c r="I75" s="70"/>
      <c r="J75" s="70">
        <f t="shared" si="11"/>
        <v>0</v>
      </c>
      <c r="K75" s="70">
        <f t="shared" si="11"/>
        <v>0</v>
      </c>
    </row>
    <row r="76" spans="1:11" x14ac:dyDescent="0.25">
      <c r="A76" s="13" t="s">
        <v>245</v>
      </c>
      <c r="B76" s="52" t="s">
        <v>207</v>
      </c>
      <c r="C76" s="31" t="s">
        <v>220</v>
      </c>
      <c r="D76" s="71">
        <f>SUM(D73:D75)</f>
        <v>0</v>
      </c>
      <c r="E76" s="71">
        <f t="shared" ref="E76:K76" si="12">SUM(E73:E75)</f>
        <v>0</v>
      </c>
      <c r="F76" s="71">
        <f t="shared" si="12"/>
        <v>0</v>
      </c>
      <c r="G76" s="71">
        <f t="shared" si="12"/>
        <v>0</v>
      </c>
      <c r="H76" s="71">
        <f t="shared" si="12"/>
        <v>0</v>
      </c>
      <c r="I76" s="71">
        <f t="shared" si="12"/>
        <v>0</v>
      </c>
      <c r="J76" s="71">
        <f t="shared" si="12"/>
        <v>0</v>
      </c>
      <c r="K76" s="71">
        <f t="shared" si="12"/>
        <v>0</v>
      </c>
    </row>
    <row r="77" spans="1:11" x14ac:dyDescent="0.25">
      <c r="A77" s="13" t="s">
        <v>246</v>
      </c>
      <c r="B77" s="8" t="s">
        <v>208</v>
      </c>
      <c r="C77" s="6" t="s">
        <v>221</v>
      </c>
      <c r="D77" s="70">
        <v>67067368</v>
      </c>
      <c r="E77" s="70"/>
      <c r="F77" s="70"/>
      <c r="G77" s="70"/>
      <c r="H77" s="70"/>
      <c r="I77" s="70"/>
      <c r="J77" s="70">
        <f t="shared" si="11"/>
        <v>67067368</v>
      </c>
      <c r="K77" s="70">
        <f t="shared" si="11"/>
        <v>0</v>
      </c>
    </row>
    <row r="78" spans="1:11" x14ac:dyDescent="0.25">
      <c r="A78" s="13" t="s">
        <v>247</v>
      </c>
      <c r="B78" s="8" t="s">
        <v>209</v>
      </c>
      <c r="C78" s="6" t="s">
        <v>222</v>
      </c>
      <c r="D78" s="70"/>
      <c r="E78" s="70"/>
      <c r="F78" s="70"/>
      <c r="G78" s="70"/>
      <c r="H78" s="70"/>
      <c r="I78" s="70"/>
      <c r="J78" s="70">
        <f t="shared" si="11"/>
        <v>0</v>
      </c>
      <c r="K78" s="70">
        <f t="shared" si="11"/>
        <v>0</v>
      </c>
    </row>
    <row r="79" spans="1:11" x14ac:dyDescent="0.25">
      <c r="A79" s="13" t="s">
        <v>248</v>
      </c>
      <c r="B79" s="8" t="s">
        <v>48</v>
      </c>
      <c r="C79" s="6" t="s">
        <v>223</v>
      </c>
      <c r="D79" s="70"/>
      <c r="E79" s="70"/>
      <c r="F79" s="70"/>
      <c r="G79" s="70"/>
      <c r="H79" s="70"/>
      <c r="I79" s="70"/>
      <c r="J79" s="70">
        <f t="shared" si="11"/>
        <v>0</v>
      </c>
      <c r="K79" s="70">
        <f t="shared" si="11"/>
        <v>0</v>
      </c>
    </row>
    <row r="80" spans="1:11" x14ac:dyDescent="0.25">
      <c r="A80" s="13" t="s">
        <v>249</v>
      </c>
      <c r="B80" s="8" t="s">
        <v>210</v>
      </c>
      <c r="C80" s="6" t="s">
        <v>224</v>
      </c>
      <c r="D80" s="70"/>
      <c r="E80" s="70"/>
      <c r="F80" s="70"/>
      <c r="G80" s="70"/>
      <c r="H80" s="70"/>
      <c r="I80" s="70"/>
      <c r="J80" s="70">
        <f t="shared" si="11"/>
        <v>0</v>
      </c>
      <c r="K80" s="70">
        <f t="shared" si="11"/>
        <v>0</v>
      </c>
    </row>
    <row r="81" spans="1:11" x14ac:dyDescent="0.25">
      <c r="A81" s="13" t="s">
        <v>250</v>
      </c>
      <c r="B81" s="52" t="s">
        <v>239</v>
      </c>
      <c r="C81" s="31" t="s">
        <v>225</v>
      </c>
      <c r="D81" s="71">
        <f>SUM(D77:D80)</f>
        <v>67067368</v>
      </c>
      <c r="E81" s="71">
        <f t="shared" ref="E81:K81" si="13">SUM(E77:E80)</f>
        <v>0</v>
      </c>
      <c r="F81" s="71">
        <f t="shared" si="13"/>
        <v>0</v>
      </c>
      <c r="G81" s="71">
        <f t="shared" si="13"/>
        <v>0</v>
      </c>
      <c r="H81" s="71">
        <f t="shared" si="13"/>
        <v>0</v>
      </c>
      <c r="I81" s="71">
        <f t="shared" si="13"/>
        <v>0</v>
      </c>
      <c r="J81" s="71">
        <f t="shared" si="13"/>
        <v>67067368</v>
      </c>
      <c r="K81" s="71">
        <f t="shared" si="13"/>
        <v>0</v>
      </c>
    </row>
    <row r="82" spans="1:11" x14ac:dyDescent="0.25">
      <c r="A82" s="13" t="s">
        <v>251</v>
      </c>
      <c r="B82" s="8" t="s">
        <v>236</v>
      </c>
      <c r="C82" s="6" t="s">
        <v>226</v>
      </c>
      <c r="D82" s="70">
        <v>250792042</v>
      </c>
      <c r="E82" s="70"/>
      <c r="F82" s="70">
        <v>1193633</v>
      </c>
      <c r="G82" s="70"/>
      <c r="H82" s="70">
        <v>710362</v>
      </c>
      <c r="I82" s="70"/>
      <c r="J82" s="70">
        <f t="shared" si="11"/>
        <v>252696037</v>
      </c>
      <c r="K82" s="70">
        <f t="shared" si="11"/>
        <v>0</v>
      </c>
    </row>
    <row r="83" spans="1:11" x14ac:dyDescent="0.25">
      <c r="A83" s="13" t="s">
        <v>252</v>
      </c>
      <c r="B83" s="8" t="s">
        <v>237</v>
      </c>
      <c r="C83" s="6" t="s">
        <v>227</v>
      </c>
      <c r="D83" s="70"/>
      <c r="E83" s="70"/>
      <c r="F83" s="70"/>
      <c r="G83" s="70"/>
      <c r="H83" s="70"/>
      <c r="I83" s="70"/>
      <c r="J83" s="70">
        <f t="shared" si="11"/>
        <v>0</v>
      </c>
      <c r="K83" s="70">
        <f t="shared" si="11"/>
        <v>0</v>
      </c>
    </row>
    <row r="84" spans="1:11" x14ac:dyDescent="0.25">
      <c r="A84" s="13" t="s">
        <v>253</v>
      </c>
      <c r="B84" s="52" t="s">
        <v>211</v>
      </c>
      <c r="C84" s="31" t="s">
        <v>228</v>
      </c>
      <c r="D84" s="71">
        <f>SUM(D82:D83)</f>
        <v>250792042</v>
      </c>
      <c r="E84" s="71">
        <f t="shared" ref="E84:K84" si="14">SUM(E82:E83)</f>
        <v>0</v>
      </c>
      <c r="F84" s="71">
        <f t="shared" si="14"/>
        <v>1193633</v>
      </c>
      <c r="G84" s="71">
        <f t="shared" si="14"/>
        <v>0</v>
      </c>
      <c r="H84" s="71">
        <f t="shared" si="14"/>
        <v>710362</v>
      </c>
      <c r="I84" s="71">
        <f t="shared" si="14"/>
        <v>0</v>
      </c>
      <c r="J84" s="71">
        <f t="shared" si="14"/>
        <v>252696037</v>
      </c>
      <c r="K84" s="71">
        <f t="shared" si="14"/>
        <v>0</v>
      </c>
    </row>
    <row r="85" spans="1:11" x14ac:dyDescent="0.25">
      <c r="A85" s="13" t="s">
        <v>254</v>
      </c>
      <c r="B85" s="8" t="s">
        <v>212</v>
      </c>
      <c r="C85" s="6" t="s">
        <v>229</v>
      </c>
      <c r="D85" s="70">
        <v>20065423</v>
      </c>
      <c r="E85" s="70"/>
      <c r="F85" s="70"/>
      <c r="G85" s="70"/>
      <c r="H85" s="70"/>
      <c r="I85" s="70"/>
      <c r="J85" s="70">
        <f t="shared" si="11"/>
        <v>20065423</v>
      </c>
      <c r="K85" s="70">
        <f t="shared" si="11"/>
        <v>0</v>
      </c>
    </row>
    <row r="86" spans="1:11" x14ac:dyDescent="0.25">
      <c r="A86" s="13" t="s">
        <v>255</v>
      </c>
      <c r="B86" s="8" t="s">
        <v>213</v>
      </c>
      <c r="C86" s="6" t="s">
        <v>230</v>
      </c>
      <c r="D86" s="70"/>
      <c r="E86" s="70"/>
      <c r="F86" s="70"/>
      <c r="G86" s="70"/>
      <c r="H86" s="70"/>
      <c r="I86" s="70"/>
      <c r="J86" s="70">
        <f t="shared" si="11"/>
        <v>0</v>
      </c>
      <c r="K86" s="70">
        <f t="shared" si="11"/>
        <v>0</v>
      </c>
    </row>
    <row r="87" spans="1:11" x14ac:dyDescent="0.25">
      <c r="A87" s="13" t="s">
        <v>256</v>
      </c>
      <c r="B87" s="8" t="s">
        <v>214</v>
      </c>
      <c r="C87" s="6" t="s">
        <v>231</v>
      </c>
      <c r="D87" s="70"/>
      <c r="E87" s="70"/>
      <c r="F87" s="70"/>
      <c r="G87" s="70"/>
      <c r="H87" s="70"/>
      <c r="I87" s="70"/>
      <c r="J87" s="70">
        <f t="shared" si="11"/>
        <v>0</v>
      </c>
      <c r="K87" s="70">
        <f t="shared" si="11"/>
        <v>0</v>
      </c>
    </row>
    <row r="88" spans="1:11" x14ac:dyDescent="0.25">
      <c r="A88" s="13" t="s">
        <v>257</v>
      </c>
      <c r="B88" s="8" t="s">
        <v>215</v>
      </c>
      <c r="C88" s="6" t="s">
        <v>232</v>
      </c>
      <c r="D88" s="70">
        <v>0</v>
      </c>
      <c r="E88" s="70"/>
      <c r="F88" s="70"/>
      <c r="G88" s="70"/>
      <c r="H88" s="70"/>
      <c r="I88" s="70"/>
      <c r="J88" s="70">
        <f t="shared" si="11"/>
        <v>0</v>
      </c>
      <c r="K88" s="70">
        <f t="shared" si="11"/>
        <v>0</v>
      </c>
    </row>
    <row r="89" spans="1:11" x14ac:dyDescent="0.25">
      <c r="A89" s="13" t="s">
        <v>258</v>
      </c>
      <c r="B89" s="8" t="s">
        <v>216</v>
      </c>
      <c r="C89" s="6" t="s">
        <v>233</v>
      </c>
      <c r="D89" s="70">
        <v>0</v>
      </c>
      <c r="E89" s="70"/>
      <c r="F89" s="70"/>
      <c r="G89" s="70"/>
      <c r="H89" s="70"/>
      <c r="I89" s="70"/>
      <c r="J89" s="70">
        <f t="shared" ref="J89:K89" si="15">+D89+F89+H89</f>
        <v>0</v>
      </c>
      <c r="K89" s="70">
        <f t="shared" si="15"/>
        <v>0</v>
      </c>
    </row>
    <row r="90" spans="1:11" x14ac:dyDescent="0.25">
      <c r="A90" s="13" t="s">
        <v>259</v>
      </c>
      <c r="B90" s="52" t="s">
        <v>238</v>
      </c>
      <c r="C90" s="31" t="s">
        <v>234</v>
      </c>
      <c r="D90" s="71">
        <f>SUM(D85:D89)</f>
        <v>20065423</v>
      </c>
      <c r="E90" s="71">
        <f t="shared" ref="E90:K90" si="16">SUM(E85:E89)</f>
        <v>0</v>
      </c>
      <c r="F90" s="71">
        <f t="shared" si="16"/>
        <v>0</v>
      </c>
      <c r="G90" s="71">
        <f t="shared" si="16"/>
        <v>0</v>
      </c>
      <c r="H90" s="71">
        <f t="shared" si="16"/>
        <v>0</v>
      </c>
      <c r="I90" s="71">
        <f t="shared" si="16"/>
        <v>0</v>
      </c>
      <c r="J90" s="71">
        <f t="shared" si="16"/>
        <v>20065423</v>
      </c>
      <c r="K90" s="71">
        <f t="shared" si="16"/>
        <v>0</v>
      </c>
    </row>
    <row r="91" spans="1:11" x14ac:dyDescent="0.25">
      <c r="A91" s="13" t="s">
        <v>260</v>
      </c>
      <c r="B91" s="14" t="s">
        <v>578</v>
      </c>
      <c r="C91" s="15" t="s">
        <v>235</v>
      </c>
      <c r="D91" s="72">
        <f>+D76+D81+D84+D90</f>
        <v>337924833</v>
      </c>
      <c r="E91" s="72">
        <f t="shared" ref="E91:K91" si="17">+E76+E81+E84+E90</f>
        <v>0</v>
      </c>
      <c r="F91" s="72">
        <f t="shared" si="17"/>
        <v>1193633</v>
      </c>
      <c r="G91" s="72">
        <f t="shared" si="17"/>
        <v>0</v>
      </c>
      <c r="H91" s="72">
        <f t="shared" si="17"/>
        <v>710362</v>
      </c>
      <c r="I91" s="72">
        <f t="shared" si="17"/>
        <v>0</v>
      </c>
      <c r="J91" s="72">
        <f t="shared" si="17"/>
        <v>339828828</v>
      </c>
      <c r="K91" s="72">
        <f t="shared" si="17"/>
        <v>0</v>
      </c>
    </row>
    <row r="92" spans="1:11" x14ac:dyDescent="0.25">
      <c r="D92" s="73"/>
      <c r="E92" s="73"/>
      <c r="F92" s="73"/>
      <c r="G92" s="73"/>
      <c r="H92" s="73"/>
      <c r="I92" s="73"/>
      <c r="J92" s="73"/>
      <c r="K92" s="73"/>
    </row>
    <row r="93" spans="1:11" x14ac:dyDescent="0.25">
      <c r="A93" s="13" t="s">
        <v>261</v>
      </c>
      <c r="B93" s="15" t="s">
        <v>579</v>
      </c>
      <c r="C93" s="15" t="s">
        <v>571</v>
      </c>
      <c r="D93" s="74">
        <f>+D66+D91</f>
        <v>1758858039</v>
      </c>
      <c r="E93" s="74">
        <f t="shared" ref="E93:K93" si="18">+E66+E91</f>
        <v>0</v>
      </c>
      <c r="F93" s="74">
        <f t="shared" si="18"/>
        <v>1333833</v>
      </c>
      <c r="G93" s="74">
        <f t="shared" si="18"/>
        <v>0</v>
      </c>
      <c r="H93" s="74">
        <f t="shared" si="18"/>
        <v>3634356</v>
      </c>
      <c r="I93" s="74">
        <f t="shared" si="18"/>
        <v>0</v>
      </c>
      <c r="J93" s="74">
        <f t="shared" si="18"/>
        <v>1763826228</v>
      </c>
      <c r="K93" s="74">
        <f t="shared" si="18"/>
        <v>0</v>
      </c>
    </row>
  </sheetData>
  <mergeCells count="24">
    <mergeCell ref="A68:K68"/>
    <mergeCell ref="A5:K5"/>
    <mergeCell ref="H70:I70"/>
    <mergeCell ref="J70:K70"/>
    <mergeCell ref="D72:E72"/>
    <mergeCell ref="F72:G72"/>
    <mergeCell ref="H72:I72"/>
    <mergeCell ref="J72:K72"/>
    <mergeCell ref="A69:A72"/>
    <mergeCell ref="B70:B72"/>
    <mergeCell ref="C70:C72"/>
    <mergeCell ref="D70:E70"/>
    <mergeCell ref="F70:G70"/>
    <mergeCell ref="C7:C9"/>
    <mergeCell ref="B7:B9"/>
    <mergeCell ref="A6:A9"/>
    <mergeCell ref="D7:E7"/>
    <mergeCell ref="F7:G7"/>
    <mergeCell ref="H7:I7"/>
    <mergeCell ref="J7:K7"/>
    <mergeCell ref="D9:E9"/>
    <mergeCell ref="F9:G9"/>
    <mergeCell ref="H9:I9"/>
    <mergeCell ref="J9:K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CBED-D740-4393-9964-611AB2EA6D1B}">
  <sheetPr>
    <pageSetUpPr fitToPage="1"/>
  </sheetPr>
  <dimension ref="A1:G17"/>
  <sheetViews>
    <sheetView workbookViewId="0">
      <selection activeCell="H10" sqref="H10"/>
    </sheetView>
  </sheetViews>
  <sheetFormatPr defaultRowHeight="15" x14ac:dyDescent="0.25"/>
  <cols>
    <col min="2" max="2" width="52.42578125" customWidth="1"/>
    <col min="3" max="4" width="28.28515625" customWidth="1"/>
  </cols>
  <sheetData>
    <row r="1" spans="1:7" x14ac:dyDescent="0.25">
      <c r="A1" s="12"/>
      <c r="B1" s="2" t="s">
        <v>57</v>
      </c>
      <c r="C1" s="2"/>
      <c r="D1" s="38" t="s">
        <v>516</v>
      </c>
      <c r="E1" s="2"/>
      <c r="G1" s="38"/>
    </row>
    <row r="2" spans="1:7" x14ac:dyDescent="0.25">
      <c r="B2" t="s">
        <v>506</v>
      </c>
    </row>
    <row r="4" spans="1:7" s="25" customFormat="1" x14ac:dyDescent="0.25">
      <c r="A4" s="182" t="s">
        <v>0</v>
      </c>
      <c r="B4" s="182" t="s">
        <v>729</v>
      </c>
      <c r="C4" s="186" t="s">
        <v>728</v>
      </c>
      <c r="D4" s="182" t="s">
        <v>509</v>
      </c>
    </row>
    <row r="5" spans="1:7" s="25" customFormat="1" ht="37.5" customHeight="1" x14ac:dyDescent="0.25">
      <c r="A5" s="182"/>
      <c r="B5" s="182"/>
      <c r="C5" s="191"/>
      <c r="D5" s="182"/>
    </row>
    <row r="6" spans="1:7" s="5" customFormat="1" x14ac:dyDescent="0.25">
      <c r="A6" s="37">
        <v>1</v>
      </c>
      <c r="B6" s="37">
        <v>2</v>
      </c>
      <c r="C6" s="37">
        <v>3</v>
      </c>
      <c r="D6" s="37">
        <v>4</v>
      </c>
    </row>
    <row r="7" spans="1:7" ht="54" customHeight="1" x14ac:dyDescent="0.25">
      <c r="A7" s="13" t="s">
        <v>17</v>
      </c>
      <c r="B7" s="80" t="s">
        <v>724</v>
      </c>
      <c r="C7" s="8" t="s">
        <v>725</v>
      </c>
      <c r="D7" s="81">
        <v>4000</v>
      </c>
    </row>
    <row r="8" spans="1:7" ht="54" customHeight="1" x14ac:dyDescent="0.25">
      <c r="A8" s="13" t="s">
        <v>18</v>
      </c>
      <c r="B8" s="80" t="s">
        <v>722</v>
      </c>
      <c r="C8" s="8" t="s">
        <v>727</v>
      </c>
      <c r="D8" s="81">
        <v>216738</v>
      </c>
    </row>
    <row r="9" spans="1:7" ht="54" customHeight="1" x14ac:dyDescent="0.25">
      <c r="A9" s="13" t="s">
        <v>19</v>
      </c>
      <c r="B9" s="80" t="s">
        <v>723</v>
      </c>
      <c r="C9" s="8" t="s">
        <v>726</v>
      </c>
      <c r="D9" s="81">
        <v>815500</v>
      </c>
    </row>
    <row r="10" spans="1:7" ht="31.5" customHeight="1" x14ac:dyDescent="0.25">
      <c r="A10" s="13" t="s">
        <v>20</v>
      </c>
      <c r="B10" s="8" t="s">
        <v>510</v>
      </c>
      <c r="C10" s="7"/>
      <c r="D10" s="81"/>
    </row>
    <row r="11" spans="1:7" ht="30.75" customHeight="1" x14ac:dyDescent="0.25">
      <c r="A11" s="13" t="s">
        <v>21</v>
      </c>
      <c r="B11" s="8" t="s">
        <v>511</v>
      </c>
      <c r="C11" s="7"/>
      <c r="D11" s="81"/>
    </row>
    <row r="12" spans="1:7" ht="21.75" customHeight="1" x14ac:dyDescent="0.25">
      <c r="A12" s="13" t="s">
        <v>22</v>
      </c>
      <c r="B12" s="8" t="s">
        <v>512</v>
      </c>
      <c r="C12" s="7"/>
      <c r="D12" s="81"/>
    </row>
    <row r="13" spans="1:7" ht="21.75" customHeight="1" x14ac:dyDescent="0.25">
      <c r="A13" s="13" t="s">
        <v>23</v>
      </c>
      <c r="B13" s="8" t="s">
        <v>513</v>
      </c>
      <c r="C13" s="7"/>
      <c r="D13" s="81"/>
    </row>
    <row r="14" spans="1:7" ht="21.75" customHeight="1" x14ac:dyDescent="0.25">
      <c r="A14" s="13" t="s">
        <v>24</v>
      </c>
      <c r="B14" s="8" t="s">
        <v>514</v>
      </c>
      <c r="C14" s="7"/>
      <c r="D14" s="81"/>
    </row>
    <row r="15" spans="1:7" ht="21.75" customHeight="1" x14ac:dyDescent="0.25">
      <c r="A15" s="13" t="s">
        <v>25</v>
      </c>
      <c r="B15" s="8" t="s">
        <v>515</v>
      </c>
      <c r="C15" s="7"/>
      <c r="D15" s="81"/>
    </row>
    <row r="16" spans="1:7" ht="21.75" customHeight="1" x14ac:dyDescent="0.25">
      <c r="A16" s="13" t="s">
        <v>26</v>
      </c>
      <c r="B16" s="14" t="s">
        <v>517</v>
      </c>
      <c r="C16" s="16"/>
      <c r="D16" s="89">
        <f>SUM(D7:D15)</f>
        <v>1036238</v>
      </c>
    </row>
    <row r="17" spans="1:1" x14ac:dyDescent="0.25">
      <c r="A17" s="12"/>
    </row>
  </sheetData>
  <mergeCells count="4">
    <mergeCell ref="A4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34AC-21B2-4096-91C0-DFB5B9D5611A}">
  <sheetPr>
    <pageSetUpPr fitToPage="1"/>
  </sheetPr>
  <dimension ref="A1:G41"/>
  <sheetViews>
    <sheetView workbookViewId="0">
      <selection activeCell="D44" sqref="D44"/>
    </sheetView>
  </sheetViews>
  <sheetFormatPr defaultRowHeight="15" x14ac:dyDescent="0.25"/>
  <cols>
    <col min="2" max="2" width="54.85546875" customWidth="1"/>
    <col min="3" max="5" width="25.5703125" customWidth="1"/>
  </cols>
  <sheetData>
    <row r="1" spans="1:7" x14ac:dyDescent="0.25">
      <c r="A1" s="12"/>
      <c r="B1" s="39" t="s">
        <v>57</v>
      </c>
      <c r="C1" s="2"/>
      <c r="D1" s="38"/>
      <c r="E1" s="41" t="s">
        <v>537</v>
      </c>
      <c r="G1" s="38"/>
    </row>
    <row r="2" spans="1:7" x14ac:dyDescent="0.25">
      <c r="B2" s="40" t="s">
        <v>518</v>
      </c>
    </row>
    <row r="3" spans="1:7" x14ac:dyDescent="0.25">
      <c r="B3" s="12" t="s">
        <v>533</v>
      </c>
    </row>
    <row r="5" spans="1:7" ht="18.75" x14ac:dyDescent="0.25">
      <c r="A5" s="44"/>
      <c r="B5" s="45"/>
      <c r="C5" s="48" t="s">
        <v>538</v>
      </c>
      <c r="D5" s="45"/>
      <c r="E5" s="46"/>
    </row>
    <row r="6" spans="1:7" x14ac:dyDescent="0.25">
      <c r="A6" s="192" t="s">
        <v>0</v>
      </c>
      <c r="B6" s="192" t="s">
        <v>508</v>
      </c>
      <c r="C6" s="192" t="s">
        <v>519</v>
      </c>
      <c r="D6" s="192" t="s">
        <v>520</v>
      </c>
      <c r="E6" s="192" t="s">
        <v>521</v>
      </c>
    </row>
    <row r="7" spans="1:7" x14ac:dyDescent="0.25">
      <c r="A7" s="193"/>
      <c r="B7" s="193"/>
      <c r="C7" s="193"/>
      <c r="D7" s="193"/>
      <c r="E7" s="193"/>
    </row>
    <row r="8" spans="1:7" s="5" customFormat="1" x14ac:dyDescent="0.25">
      <c r="A8" s="47">
        <v>1</v>
      </c>
      <c r="B8" s="47">
        <v>2</v>
      </c>
      <c r="C8" s="47">
        <v>3</v>
      </c>
      <c r="D8" s="47">
        <v>4</v>
      </c>
      <c r="E8" s="47">
        <v>5</v>
      </c>
    </row>
    <row r="9" spans="1:7" x14ac:dyDescent="0.25">
      <c r="A9" s="13" t="s">
        <v>17</v>
      </c>
      <c r="B9" s="42" t="s">
        <v>45</v>
      </c>
      <c r="C9" s="101">
        <f>+'1. melléklet'!D17*1.1</f>
        <v>593398547.5</v>
      </c>
      <c r="D9" s="101">
        <f t="shared" ref="D9:E11" si="0">+C9*1.05</f>
        <v>623068474.875</v>
      </c>
      <c r="E9" s="101">
        <f t="shared" si="0"/>
        <v>654221898.61874998</v>
      </c>
    </row>
    <row r="10" spans="1:7" x14ac:dyDescent="0.25">
      <c r="A10" s="13" t="s">
        <v>18</v>
      </c>
      <c r="B10" s="42" t="s">
        <v>522</v>
      </c>
      <c r="C10" s="101">
        <v>20000000</v>
      </c>
      <c r="D10" s="101">
        <f t="shared" si="0"/>
        <v>21000000</v>
      </c>
      <c r="E10" s="101">
        <f t="shared" si="0"/>
        <v>22050000</v>
      </c>
    </row>
    <row r="11" spans="1:7" x14ac:dyDescent="0.25">
      <c r="A11" s="13" t="s">
        <v>19</v>
      </c>
      <c r="B11" s="42" t="s">
        <v>523</v>
      </c>
      <c r="C11" s="101">
        <v>150000000</v>
      </c>
      <c r="D11" s="101">
        <f t="shared" si="0"/>
        <v>157500000</v>
      </c>
      <c r="E11" s="101">
        <f t="shared" si="0"/>
        <v>165375000</v>
      </c>
    </row>
    <row r="12" spans="1:7" x14ac:dyDescent="0.25">
      <c r="A12" s="13" t="s">
        <v>20</v>
      </c>
      <c r="B12" s="42" t="s">
        <v>535</v>
      </c>
      <c r="C12" s="101">
        <f>SUM(C14:C16)</f>
        <v>207350000.00000003</v>
      </c>
      <c r="D12" s="101">
        <f>SUM(D13:D16)</f>
        <v>217717500.00000003</v>
      </c>
      <c r="E12" s="101">
        <f>SUM(E13:E16)</f>
        <v>228603375.00000003</v>
      </c>
    </row>
    <row r="13" spans="1:7" x14ac:dyDescent="0.25">
      <c r="A13" s="13" t="s">
        <v>21</v>
      </c>
      <c r="B13" s="7" t="s">
        <v>534</v>
      </c>
      <c r="C13" s="81"/>
      <c r="D13" s="81"/>
      <c r="E13" s="81"/>
    </row>
    <row r="14" spans="1:7" x14ac:dyDescent="0.25">
      <c r="A14" s="13" t="s">
        <v>22</v>
      </c>
      <c r="B14" s="7" t="s">
        <v>524</v>
      </c>
      <c r="C14" s="81">
        <f>+'1. melléklet'!D30*1.1</f>
        <v>16500000.000000002</v>
      </c>
      <c r="D14" s="81">
        <f t="shared" ref="D14:E18" si="1">+C14*1.05</f>
        <v>17325000.000000004</v>
      </c>
      <c r="E14" s="81">
        <f t="shared" si="1"/>
        <v>18191250.000000004</v>
      </c>
    </row>
    <row r="15" spans="1:7" x14ac:dyDescent="0.25">
      <c r="A15" s="13" t="s">
        <v>23</v>
      </c>
      <c r="B15" s="7" t="s">
        <v>525</v>
      </c>
      <c r="C15" s="81">
        <f>+'1. melléklet'!D31*1.1</f>
        <v>189200000.00000003</v>
      </c>
      <c r="D15" s="81">
        <f t="shared" si="1"/>
        <v>198660000.00000003</v>
      </c>
      <c r="E15" s="81">
        <f t="shared" si="1"/>
        <v>208593000.00000003</v>
      </c>
    </row>
    <row r="16" spans="1:7" x14ac:dyDescent="0.25">
      <c r="A16" s="13" t="s">
        <v>24</v>
      </c>
      <c r="B16" s="7" t="s">
        <v>526</v>
      </c>
      <c r="C16" s="81">
        <f>+'1. melléklet'!D32*1.1</f>
        <v>1650000.0000000002</v>
      </c>
      <c r="D16" s="81">
        <f t="shared" si="1"/>
        <v>1732500.0000000002</v>
      </c>
      <c r="E16" s="81">
        <f t="shared" si="1"/>
        <v>1819125.0000000002</v>
      </c>
    </row>
    <row r="17" spans="1:5" x14ac:dyDescent="0.25">
      <c r="A17" s="13" t="s">
        <v>25</v>
      </c>
      <c r="B17" s="42" t="s">
        <v>527</v>
      </c>
      <c r="C17" s="101">
        <v>35000000</v>
      </c>
      <c r="D17" s="101">
        <f t="shared" si="1"/>
        <v>36750000</v>
      </c>
      <c r="E17" s="101">
        <f t="shared" si="1"/>
        <v>38587500</v>
      </c>
    </row>
    <row r="18" spans="1:5" x14ac:dyDescent="0.25">
      <c r="A18" s="13" t="s">
        <v>26</v>
      </c>
      <c r="B18" s="42" t="s">
        <v>528</v>
      </c>
      <c r="C18" s="101">
        <v>10000000</v>
      </c>
      <c r="D18" s="101">
        <f t="shared" si="1"/>
        <v>10500000</v>
      </c>
      <c r="E18" s="101">
        <f t="shared" si="1"/>
        <v>11025000</v>
      </c>
    </row>
    <row r="19" spans="1:5" x14ac:dyDescent="0.25">
      <c r="A19" s="13" t="s">
        <v>27</v>
      </c>
      <c r="B19" s="42" t="s">
        <v>529</v>
      </c>
      <c r="C19" s="101">
        <v>0</v>
      </c>
      <c r="D19" s="101">
        <v>0</v>
      </c>
      <c r="E19" s="101">
        <v>0</v>
      </c>
    </row>
    <row r="20" spans="1:5" x14ac:dyDescent="0.25">
      <c r="A20" s="13" t="s">
        <v>28</v>
      </c>
      <c r="B20" s="42" t="s">
        <v>530</v>
      </c>
      <c r="C20" s="101">
        <v>0</v>
      </c>
      <c r="D20" s="101">
        <v>0</v>
      </c>
      <c r="E20" s="101">
        <v>0</v>
      </c>
    </row>
    <row r="21" spans="1:5" x14ac:dyDescent="0.25">
      <c r="A21" s="13" t="s">
        <v>29</v>
      </c>
      <c r="B21" s="43" t="s">
        <v>536</v>
      </c>
      <c r="C21" s="82">
        <f>+C9+C10+C11+C12+C17+C18+C19+C20</f>
        <v>1015748547.5</v>
      </c>
      <c r="D21" s="82">
        <f>+D9+D10+D11+D12+D17+D18+D19+D20</f>
        <v>1066535974.875</v>
      </c>
      <c r="E21" s="82">
        <f>+E9+E10+E11+E12+E17+E18+E19+E20</f>
        <v>1119862773.6187501</v>
      </c>
    </row>
    <row r="22" spans="1:5" x14ac:dyDescent="0.25">
      <c r="A22" s="13" t="s">
        <v>30</v>
      </c>
      <c r="B22" s="43" t="s">
        <v>531</v>
      </c>
      <c r="C22" s="82">
        <v>250000000</v>
      </c>
      <c r="D22" s="82">
        <f>+C22*1.05</f>
        <v>262500000</v>
      </c>
      <c r="E22" s="82">
        <f>+D22*1.05</f>
        <v>275625000</v>
      </c>
    </row>
    <row r="23" spans="1:5" x14ac:dyDescent="0.25">
      <c r="A23" s="13" t="s">
        <v>31</v>
      </c>
      <c r="B23" s="16" t="s">
        <v>532</v>
      </c>
      <c r="C23" s="89">
        <f>+C21+C22</f>
        <v>1265748547.5</v>
      </c>
      <c r="D23" s="89">
        <f t="shared" ref="D23:E23" si="2">+D21+D22</f>
        <v>1329035974.875</v>
      </c>
      <c r="E23" s="89">
        <f t="shared" si="2"/>
        <v>1395487773.6187501</v>
      </c>
    </row>
    <row r="26" spans="1:5" ht="18.75" x14ac:dyDescent="0.25">
      <c r="A26" s="44"/>
      <c r="B26" s="45"/>
      <c r="C26" s="48" t="s">
        <v>539</v>
      </c>
      <c r="D26" s="45"/>
      <c r="E26" s="46"/>
    </row>
    <row r="27" spans="1:5" x14ac:dyDescent="0.25">
      <c r="A27" s="194" t="s">
        <v>0</v>
      </c>
      <c r="B27" s="194" t="s">
        <v>508</v>
      </c>
      <c r="C27" s="194" t="s">
        <v>519</v>
      </c>
      <c r="D27" s="194" t="s">
        <v>520</v>
      </c>
      <c r="E27" s="194" t="s">
        <v>521</v>
      </c>
    </row>
    <row r="28" spans="1:5" x14ac:dyDescent="0.25">
      <c r="A28" s="182"/>
      <c r="B28" s="182"/>
      <c r="C28" s="182"/>
      <c r="D28" s="182"/>
      <c r="E28" s="182"/>
    </row>
    <row r="29" spans="1:5" s="5" customFormat="1" x14ac:dyDescent="0.25">
      <c r="A29" s="37">
        <v>1</v>
      </c>
      <c r="B29" s="37">
        <v>2</v>
      </c>
      <c r="C29" s="37">
        <v>3</v>
      </c>
      <c r="D29" s="37">
        <v>4</v>
      </c>
      <c r="E29" s="37">
        <v>5</v>
      </c>
    </row>
    <row r="30" spans="1:5" x14ac:dyDescent="0.25">
      <c r="A30" s="13" t="s">
        <v>17</v>
      </c>
      <c r="B30" s="42" t="s">
        <v>546</v>
      </c>
      <c r="C30" s="101">
        <f>1047110851</f>
        <v>1047110851</v>
      </c>
      <c r="D30" s="101">
        <v>1089534508</v>
      </c>
      <c r="E30" s="101">
        <v>1133086160</v>
      </c>
    </row>
    <row r="31" spans="1:5" x14ac:dyDescent="0.25">
      <c r="A31" s="13" t="s">
        <v>18</v>
      </c>
      <c r="B31" s="42" t="s">
        <v>547</v>
      </c>
      <c r="C31" s="101">
        <f>SUM(C33:C35)</f>
        <v>198637697</v>
      </c>
      <c r="D31" s="101">
        <f t="shared" ref="D31:E31" si="3">SUM(D33:D35)</f>
        <v>218501466.70000002</v>
      </c>
      <c r="E31" s="101">
        <f t="shared" si="3"/>
        <v>240351613.37000003</v>
      </c>
    </row>
    <row r="32" spans="1:5" x14ac:dyDescent="0.25">
      <c r="A32" s="13" t="s">
        <v>19</v>
      </c>
      <c r="B32" s="7" t="s">
        <v>534</v>
      </c>
      <c r="C32" s="106"/>
      <c r="D32" s="106"/>
      <c r="E32" s="106"/>
    </row>
    <row r="33" spans="1:5" x14ac:dyDescent="0.25">
      <c r="A33" s="13" t="s">
        <v>20</v>
      </c>
      <c r="B33" s="7" t="s">
        <v>540</v>
      </c>
      <c r="C33" s="106">
        <f>+'9. melléklet'!E8</f>
        <v>198637697</v>
      </c>
      <c r="D33" s="106">
        <f>+C33*1.1</f>
        <v>218501466.70000002</v>
      </c>
      <c r="E33" s="106">
        <f>+D33*1.1</f>
        <v>240351613.37000003</v>
      </c>
    </row>
    <row r="34" spans="1:5" x14ac:dyDescent="0.25">
      <c r="A34" s="13" t="s">
        <v>21</v>
      </c>
      <c r="B34" s="7" t="s">
        <v>541</v>
      </c>
      <c r="C34" s="106">
        <v>0</v>
      </c>
      <c r="D34" s="106">
        <v>0</v>
      </c>
      <c r="E34" s="106">
        <v>0</v>
      </c>
    </row>
    <row r="35" spans="1:5" x14ac:dyDescent="0.25">
      <c r="A35" s="13" t="s">
        <v>22</v>
      </c>
      <c r="B35" s="7" t="s">
        <v>54</v>
      </c>
      <c r="C35" s="106">
        <v>0</v>
      </c>
      <c r="D35" s="106">
        <v>0</v>
      </c>
      <c r="E35" s="106">
        <v>0</v>
      </c>
    </row>
    <row r="36" spans="1:5" x14ac:dyDescent="0.25">
      <c r="A36" s="13" t="s">
        <v>23</v>
      </c>
      <c r="B36" s="43" t="s">
        <v>542</v>
      </c>
      <c r="C36" s="82">
        <f>+C30+C31</f>
        <v>1245748548</v>
      </c>
      <c r="D36" s="82">
        <f t="shared" ref="D36:E36" si="4">+D30+D31</f>
        <v>1308035974.7</v>
      </c>
      <c r="E36" s="82">
        <f t="shared" si="4"/>
        <v>1373437773.3700001</v>
      </c>
    </row>
    <row r="37" spans="1:5" x14ac:dyDescent="0.25">
      <c r="A37" s="13" t="s">
        <v>24</v>
      </c>
      <c r="B37" s="43" t="s">
        <v>543</v>
      </c>
      <c r="C37" s="82">
        <v>0</v>
      </c>
      <c r="D37" s="82">
        <v>0</v>
      </c>
      <c r="E37" s="82">
        <v>0</v>
      </c>
    </row>
    <row r="38" spans="1:5" x14ac:dyDescent="0.25">
      <c r="A38" s="13" t="s">
        <v>25</v>
      </c>
      <c r="B38" s="43" t="s">
        <v>544</v>
      </c>
      <c r="C38" s="82">
        <v>20000000</v>
      </c>
      <c r="D38" s="82">
        <f>+C38*1.05</f>
        <v>21000000</v>
      </c>
      <c r="E38" s="82">
        <f>+D38*1.05</f>
        <v>22050000</v>
      </c>
    </row>
    <row r="39" spans="1:5" x14ac:dyDescent="0.25">
      <c r="A39" s="13" t="s">
        <v>26</v>
      </c>
      <c r="B39" s="16" t="s">
        <v>545</v>
      </c>
      <c r="C39" s="89">
        <f>SUM(C36:C38)</f>
        <v>1265748548</v>
      </c>
      <c r="D39" s="89">
        <f t="shared" ref="D39:E39" si="5">SUM(D36:D38)</f>
        <v>1329035974.7</v>
      </c>
      <c r="E39" s="89">
        <f t="shared" si="5"/>
        <v>1395487773.3700001</v>
      </c>
    </row>
    <row r="41" spans="1:5" x14ac:dyDescent="0.25">
      <c r="C41" s="98"/>
      <c r="D41" s="98"/>
      <c r="E41" s="98"/>
    </row>
  </sheetData>
  <mergeCells count="10">
    <mergeCell ref="A27:A28"/>
    <mergeCell ref="B27:B28"/>
    <mergeCell ref="C27:C28"/>
    <mergeCell ref="D27:D28"/>
    <mergeCell ref="E27:E28"/>
    <mergeCell ref="A6:A7"/>
    <mergeCell ref="B6:B7"/>
    <mergeCell ref="C6:C7"/>
    <mergeCell ref="D6:D7"/>
    <mergeCell ref="E6:E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D212-D7B9-414F-8136-6A6ECB92F131}">
  <sheetPr>
    <pageSetUpPr fitToPage="1"/>
  </sheetPr>
  <dimension ref="A1:O29"/>
  <sheetViews>
    <sheetView topLeftCell="A4" workbookViewId="0">
      <selection activeCell="O29" sqref="O29"/>
    </sheetView>
  </sheetViews>
  <sheetFormatPr defaultRowHeight="15" x14ac:dyDescent="0.25"/>
  <cols>
    <col min="1" max="1" width="11.5703125" customWidth="1"/>
    <col min="2" max="2" width="41.42578125" customWidth="1"/>
    <col min="3" max="14" width="13" customWidth="1"/>
    <col min="15" max="15" width="14.5703125" customWidth="1"/>
  </cols>
  <sheetData>
    <row r="1" spans="1:15" x14ac:dyDescent="0.25">
      <c r="A1" s="12"/>
      <c r="B1" s="39"/>
      <c r="C1" s="1"/>
      <c r="D1" s="38"/>
      <c r="E1" s="1"/>
      <c r="F1" s="1" t="s">
        <v>57</v>
      </c>
      <c r="G1" s="38"/>
      <c r="L1" s="36"/>
      <c r="M1" s="9"/>
      <c r="N1" s="9" t="s">
        <v>575</v>
      </c>
    </row>
    <row r="2" spans="1:15" x14ac:dyDescent="0.25">
      <c r="A2" s="12"/>
      <c r="B2" s="39"/>
      <c r="C2" s="1"/>
      <c r="D2" s="38"/>
      <c r="E2" s="1"/>
      <c r="F2" s="1" t="s">
        <v>573</v>
      </c>
      <c r="G2" s="38"/>
    </row>
    <row r="3" spans="1:15" x14ac:dyDescent="0.25">
      <c r="A3" s="12"/>
      <c r="B3" s="39"/>
      <c r="C3" s="2"/>
      <c r="D3" s="38"/>
      <c r="E3" s="41"/>
      <c r="G3" s="38"/>
    </row>
    <row r="4" spans="1:15" s="49" customFormat="1" ht="31.5" customHeight="1" x14ac:dyDescent="0.25">
      <c r="A4" s="195" t="s">
        <v>538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</row>
    <row r="5" spans="1:15" s="12" customFormat="1" ht="34.5" customHeight="1" x14ac:dyDescent="0.25">
      <c r="A5" s="13" t="s">
        <v>565</v>
      </c>
      <c r="B5" s="13" t="s">
        <v>10</v>
      </c>
      <c r="C5" s="13" t="s">
        <v>9</v>
      </c>
      <c r="D5" s="13" t="s">
        <v>548</v>
      </c>
      <c r="E5" s="13" t="s">
        <v>549</v>
      </c>
      <c r="F5" s="13" t="s">
        <v>550</v>
      </c>
      <c r="G5" s="13" t="s">
        <v>551</v>
      </c>
      <c r="H5" s="13" t="s">
        <v>552</v>
      </c>
      <c r="I5" s="13" t="s">
        <v>553</v>
      </c>
      <c r="J5" s="13" t="s">
        <v>554</v>
      </c>
      <c r="K5" s="13" t="s">
        <v>555</v>
      </c>
      <c r="L5" s="13" t="s">
        <v>556</v>
      </c>
      <c r="M5" s="13" t="s">
        <v>557</v>
      </c>
      <c r="N5" s="13" t="s">
        <v>558</v>
      </c>
      <c r="O5" s="20" t="s">
        <v>505</v>
      </c>
    </row>
    <row r="6" spans="1:15" x14ac:dyDescent="0.25">
      <c r="A6" s="13" t="s">
        <v>559</v>
      </c>
      <c r="B6" s="7" t="s">
        <v>560</v>
      </c>
      <c r="C6" s="81">
        <v>49000229</v>
      </c>
      <c r="D6" s="81">
        <v>49000229</v>
      </c>
      <c r="E6" s="81">
        <v>49000229</v>
      </c>
      <c r="F6" s="81">
        <v>49000229</v>
      </c>
      <c r="G6" s="81">
        <v>49000229</v>
      </c>
      <c r="H6" s="81">
        <v>49000229</v>
      </c>
      <c r="I6" s="81">
        <v>49000229</v>
      </c>
      <c r="J6" s="81">
        <v>49000229</v>
      </c>
      <c r="K6" s="81">
        <v>49000229</v>
      </c>
      <c r="L6" s="81">
        <v>49000229</v>
      </c>
      <c r="M6" s="81">
        <v>49000229</v>
      </c>
      <c r="N6" s="81">
        <v>49000229</v>
      </c>
      <c r="O6" s="101">
        <f>SUM(C6:N6)</f>
        <v>588002748</v>
      </c>
    </row>
    <row r="7" spans="1:15" x14ac:dyDescent="0.25">
      <c r="A7" s="13" t="s">
        <v>168</v>
      </c>
      <c r="B7" s="7" t="s">
        <v>561</v>
      </c>
      <c r="C7" s="81"/>
      <c r="D7" s="81"/>
      <c r="E7" s="81"/>
      <c r="F7" s="70">
        <f>520045733/2</f>
        <v>260022866.5</v>
      </c>
      <c r="G7" s="81"/>
      <c r="H7" s="81"/>
      <c r="I7" s="81"/>
      <c r="J7" s="81"/>
      <c r="K7" s="70">
        <f>520045733/2</f>
        <v>260022866.5</v>
      </c>
      <c r="L7" s="81"/>
      <c r="M7" s="81"/>
      <c r="N7" s="81"/>
      <c r="O7" s="101">
        <f t="shared" ref="O7:O13" si="0">SUM(C7:N7)</f>
        <v>520045733</v>
      </c>
    </row>
    <row r="8" spans="1:15" x14ac:dyDescent="0.25">
      <c r="A8" s="13" t="s">
        <v>169</v>
      </c>
      <c r="B8" s="7" t="s">
        <v>47</v>
      </c>
      <c r="C8" s="81"/>
      <c r="D8" s="81">
        <v>100000</v>
      </c>
      <c r="E8" s="81">
        <f>+'1. melléklet'!D30/2</f>
        <v>7500000</v>
      </c>
      <c r="F8" s="81">
        <v>200000</v>
      </c>
      <c r="G8" s="81">
        <v>200000</v>
      </c>
      <c r="H8" s="81">
        <f>+'1. melléklet'!D31</f>
        <v>172000000</v>
      </c>
      <c r="I8" s="81">
        <v>200000</v>
      </c>
      <c r="J8" s="81">
        <v>200000</v>
      </c>
      <c r="K8" s="81">
        <f>+'1. melléklet'!J30/2</f>
        <v>7500000</v>
      </c>
      <c r="L8" s="81">
        <v>200000</v>
      </c>
      <c r="M8" s="81">
        <v>200000</v>
      </c>
      <c r="N8" s="81">
        <v>200000</v>
      </c>
      <c r="O8" s="101">
        <f t="shared" si="0"/>
        <v>188500000</v>
      </c>
    </row>
    <row r="9" spans="1:15" x14ac:dyDescent="0.25">
      <c r="A9" s="13" t="s">
        <v>170</v>
      </c>
      <c r="B9" s="7" t="s">
        <v>44</v>
      </c>
      <c r="C9" s="81">
        <f>+'1. melléklet'!J47/12</f>
        <v>3241476.25</v>
      </c>
      <c r="D9" s="81">
        <v>3241476.25</v>
      </c>
      <c r="E9" s="81">
        <v>3241476.25</v>
      </c>
      <c r="F9" s="81">
        <v>3241476.25</v>
      </c>
      <c r="G9" s="81">
        <v>3241476.25</v>
      </c>
      <c r="H9" s="81">
        <v>3241476.25</v>
      </c>
      <c r="I9" s="81">
        <v>3241476.25</v>
      </c>
      <c r="J9" s="81">
        <v>3241476.25</v>
      </c>
      <c r="K9" s="81">
        <v>3241476.25</v>
      </c>
      <c r="L9" s="81">
        <v>3241476.25</v>
      </c>
      <c r="M9" s="81">
        <v>3241476.25</v>
      </c>
      <c r="N9" s="81">
        <v>3241476.25</v>
      </c>
      <c r="O9" s="101">
        <f>SUM(C9:N9)+4</f>
        <v>38897719</v>
      </c>
    </row>
    <row r="10" spans="1:15" x14ac:dyDescent="0.25">
      <c r="A10" s="13" t="s">
        <v>171</v>
      </c>
      <c r="B10" s="7" t="s">
        <v>528</v>
      </c>
      <c r="C10" s="81">
        <v>14681040</v>
      </c>
      <c r="D10" s="81"/>
      <c r="E10" s="81"/>
      <c r="F10" s="81"/>
      <c r="G10" s="81"/>
      <c r="H10" s="81"/>
      <c r="I10" s="81"/>
      <c r="J10" s="81"/>
      <c r="K10" s="81">
        <f>+'1. melléklet'!D49-14681040</f>
        <v>62630160</v>
      </c>
      <c r="L10" s="81"/>
      <c r="M10" s="81"/>
      <c r="N10" s="81"/>
      <c r="O10" s="101">
        <f t="shared" si="0"/>
        <v>77311200</v>
      </c>
    </row>
    <row r="11" spans="1:15" x14ac:dyDescent="0.25">
      <c r="A11" s="13" t="s">
        <v>189</v>
      </c>
      <c r="B11" s="7" t="s">
        <v>46</v>
      </c>
      <c r="C11" s="81"/>
      <c r="D11" s="81"/>
      <c r="E11" s="81"/>
      <c r="F11" s="81"/>
      <c r="G11" s="81"/>
      <c r="H11" s="81">
        <v>500000</v>
      </c>
      <c r="I11" s="81"/>
      <c r="J11" s="81"/>
      <c r="K11" s="81"/>
      <c r="L11" s="81"/>
      <c r="M11" s="81"/>
      <c r="N11" s="81"/>
      <c r="O11" s="101">
        <f t="shared" si="0"/>
        <v>500000</v>
      </c>
    </row>
    <row r="12" spans="1:15" x14ac:dyDescent="0.25">
      <c r="A12" s="13" t="s">
        <v>195</v>
      </c>
      <c r="B12" s="7" t="s">
        <v>562</v>
      </c>
      <c r="C12" s="81"/>
      <c r="D12" s="81"/>
      <c r="E12" s="81"/>
      <c r="F12" s="81"/>
      <c r="G12" s="81"/>
      <c r="H12" s="81">
        <f>+'1. melléklet'!D64</f>
        <v>10740000</v>
      </c>
      <c r="I12" s="81"/>
      <c r="J12" s="81"/>
      <c r="K12" s="81"/>
      <c r="L12" s="81"/>
      <c r="M12" s="81"/>
      <c r="N12" s="81"/>
      <c r="O12" s="101">
        <f t="shared" si="0"/>
        <v>10740000</v>
      </c>
    </row>
    <row r="13" spans="1:15" x14ac:dyDescent="0.25">
      <c r="A13" s="13" t="s">
        <v>235</v>
      </c>
      <c r="B13" s="7" t="s">
        <v>563</v>
      </c>
      <c r="C13" s="81">
        <v>0</v>
      </c>
      <c r="D13" s="81">
        <f>+'1. melléklet'!D77</f>
        <v>67067368</v>
      </c>
      <c r="E13" s="81">
        <f>+'1. melléklet'!J84</f>
        <v>252696037</v>
      </c>
      <c r="F13" s="81"/>
      <c r="G13" s="81"/>
      <c r="H13" s="81"/>
      <c r="I13" s="81"/>
      <c r="J13" s="81"/>
      <c r="K13" s="81"/>
      <c r="L13" s="81"/>
      <c r="M13" s="81"/>
      <c r="N13" s="81">
        <f>+'1. melléklet'!D85</f>
        <v>20065423</v>
      </c>
      <c r="O13" s="101">
        <f t="shared" si="0"/>
        <v>339828828</v>
      </c>
    </row>
    <row r="14" spans="1:15" s="25" customFormat="1" x14ac:dyDescent="0.25">
      <c r="A14" s="50" t="s">
        <v>571</v>
      </c>
      <c r="B14" s="51" t="s">
        <v>564</v>
      </c>
      <c r="C14" s="107">
        <f>SUM(C6:C13)</f>
        <v>66922745.25</v>
      </c>
      <c r="D14" s="107">
        <f t="shared" ref="D14:N14" si="1">SUM(D6:D13)</f>
        <v>119409073.25</v>
      </c>
      <c r="E14" s="107">
        <f t="shared" si="1"/>
        <v>312437742.25</v>
      </c>
      <c r="F14" s="107">
        <f t="shared" si="1"/>
        <v>312464571.75</v>
      </c>
      <c r="G14" s="107">
        <f t="shared" si="1"/>
        <v>52441705.25</v>
      </c>
      <c r="H14" s="107">
        <f t="shared" si="1"/>
        <v>235481705.25</v>
      </c>
      <c r="I14" s="107">
        <f t="shared" si="1"/>
        <v>52441705.25</v>
      </c>
      <c r="J14" s="107">
        <f t="shared" si="1"/>
        <v>52441705.25</v>
      </c>
      <c r="K14" s="107">
        <f t="shared" si="1"/>
        <v>382394731.75</v>
      </c>
      <c r="L14" s="107">
        <f t="shared" si="1"/>
        <v>52441705.25</v>
      </c>
      <c r="M14" s="107">
        <f t="shared" si="1"/>
        <v>52441705.25</v>
      </c>
      <c r="N14" s="107">
        <f t="shared" si="1"/>
        <v>72507128.25</v>
      </c>
      <c r="O14" s="107">
        <f>SUM(O6:O13)</f>
        <v>1763826228</v>
      </c>
    </row>
    <row r="16" spans="1:15" s="49" customFormat="1" ht="31.5" customHeight="1" x14ac:dyDescent="0.25">
      <c r="A16" s="195" t="s">
        <v>539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</row>
    <row r="17" spans="1:15" s="12" customFormat="1" ht="34.5" customHeight="1" x14ac:dyDescent="0.25">
      <c r="A17" s="13" t="s">
        <v>565</v>
      </c>
      <c r="B17" s="13" t="s">
        <v>10</v>
      </c>
      <c r="C17" s="13" t="s">
        <v>9</v>
      </c>
      <c r="D17" s="13" t="s">
        <v>548</v>
      </c>
      <c r="E17" s="13" t="s">
        <v>549</v>
      </c>
      <c r="F17" s="13" t="s">
        <v>550</v>
      </c>
      <c r="G17" s="13" t="s">
        <v>551</v>
      </c>
      <c r="H17" s="13" t="s">
        <v>552</v>
      </c>
      <c r="I17" s="13" t="s">
        <v>553</v>
      </c>
      <c r="J17" s="13" t="s">
        <v>554</v>
      </c>
      <c r="K17" s="13" t="s">
        <v>555</v>
      </c>
      <c r="L17" s="13" t="s">
        <v>556</v>
      </c>
      <c r="M17" s="13" t="s">
        <v>557</v>
      </c>
      <c r="N17" s="13" t="s">
        <v>558</v>
      </c>
      <c r="O17" s="20" t="s">
        <v>505</v>
      </c>
    </row>
    <row r="18" spans="1:15" x14ac:dyDescent="0.25">
      <c r="A18" s="13" t="s">
        <v>355</v>
      </c>
      <c r="B18" s="7" t="s">
        <v>49</v>
      </c>
      <c r="C18" s="81">
        <f>+'2. melléklet'!J28/12</f>
        <v>50553917.666666664</v>
      </c>
      <c r="D18" s="81">
        <v>50470584.583333336</v>
      </c>
      <c r="E18" s="81">
        <v>50470584.583333336</v>
      </c>
      <c r="F18" s="81">
        <v>50470584.583333336</v>
      </c>
      <c r="G18" s="81">
        <v>50470584.583333336</v>
      </c>
      <c r="H18" s="81">
        <v>50470584.583333336</v>
      </c>
      <c r="I18" s="81">
        <v>50470584.583333336</v>
      </c>
      <c r="J18" s="81">
        <v>50470584.583333336</v>
      </c>
      <c r="K18" s="81">
        <v>50470584.583333336</v>
      </c>
      <c r="L18" s="81">
        <v>50470584.583333336</v>
      </c>
      <c r="M18" s="81">
        <v>50470584.583333336</v>
      </c>
      <c r="N18" s="81">
        <v>50470584.583333336</v>
      </c>
      <c r="O18" s="101">
        <f t="shared" ref="O18:O26" si="2">SUM(C18:N18)</f>
        <v>605730348.08333337</v>
      </c>
    </row>
    <row r="19" spans="1:15" x14ac:dyDescent="0.25">
      <c r="A19" s="13" t="s">
        <v>356</v>
      </c>
      <c r="B19" s="7" t="s">
        <v>566</v>
      </c>
      <c r="C19" s="81">
        <f>+'2. melléklet'!J29/12</f>
        <v>6508190.333333333</v>
      </c>
      <c r="D19" s="81">
        <v>6508190.333333333</v>
      </c>
      <c r="E19" s="81">
        <v>6508190.333333333</v>
      </c>
      <c r="F19" s="81">
        <v>6508190.333333333</v>
      </c>
      <c r="G19" s="81">
        <v>6508190.333333333</v>
      </c>
      <c r="H19" s="81">
        <v>6508190.333333333</v>
      </c>
      <c r="I19" s="81">
        <v>6508190.333333333</v>
      </c>
      <c r="J19" s="81">
        <v>6508190.333333333</v>
      </c>
      <c r="K19" s="81">
        <v>6508190.333333333</v>
      </c>
      <c r="L19" s="81">
        <v>6508190.333333333</v>
      </c>
      <c r="M19" s="81">
        <v>6508190.333333333</v>
      </c>
      <c r="N19" s="81">
        <v>6508190.333333333</v>
      </c>
      <c r="O19" s="101">
        <f t="shared" si="2"/>
        <v>78098284</v>
      </c>
    </row>
    <row r="20" spans="1:15" x14ac:dyDescent="0.25">
      <c r="A20" s="13" t="s">
        <v>357</v>
      </c>
      <c r="B20" s="7" t="s">
        <v>567</v>
      </c>
      <c r="C20" s="81">
        <f>+'2. melléklet'!J56/12</f>
        <v>27952317</v>
      </c>
      <c r="D20" s="81">
        <v>27952317</v>
      </c>
      <c r="E20" s="81">
        <v>27952317</v>
      </c>
      <c r="F20" s="81">
        <v>27952317</v>
      </c>
      <c r="G20" s="81">
        <v>27952317</v>
      </c>
      <c r="H20" s="81">
        <v>27952317</v>
      </c>
      <c r="I20" s="81">
        <v>27952317</v>
      </c>
      <c r="J20" s="81">
        <v>27952317</v>
      </c>
      <c r="K20" s="81">
        <v>27952317</v>
      </c>
      <c r="L20" s="81">
        <v>27952317</v>
      </c>
      <c r="M20" s="81">
        <v>27952317</v>
      </c>
      <c r="N20" s="81">
        <v>27952317</v>
      </c>
      <c r="O20" s="101">
        <f t="shared" si="2"/>
        <v>335427804</v>
      </c>
    </row>
    <row r="21" spans="1:15" x14ac:dyDescent="0.25">
      <c r="A21" s="13" t="s">
        <v>383</v>
      </c>
      <c r="B21" s="7" t="s">
        <v>51</v>
      </c>
      <c r="C21" s="81">
        <f>+'2. melléklet'!J59/12</f>
        <v>350000</v>
      </c>
      <c r="D21" s="81">
        <v>350000</v>
      </c>
      <c r="E21" s="81">
        <v>350000</v>
      </c>
      <c r="F21" s="81">
        <v>350000</v>
      </c>
      <c r="G21" s="81">
        <v>350000</v>
      </c>
      <c r="H21" s="81">
        <v>350000</v>
      </c>
      <c r="I21" s="81">
        <v>350000</v>
      </c>
      <c r="J21" s="81">
        <v>350000</v>
      </c>
      <c r="K21" s="81">
        <v>350000</v>
      </c>
      <c r="L21" s="81">
        <v>350000</v>
      </c>
      <c r="M21" s="81">
        <v>350000</v>
      </c>
      <c r="N21" s="81">
        <v>350000</v>
      </c>
      <c r="O21" s="101">
        <f t="shared" si="2"/>
        <v>4200000</v>
      </c>
    </row>
    <row r="22" spans="1:15" x14ac:dyDescent="0.25">
      <c r="A22" s="13" t="s">
        <v>387</v>
      </c>
      <c r="B22" s="7" t="s">
        <v>568</v>
      </c>
      <c r="C22" s="81">
        <v>0</v>
      </c>
      <c r="D22" s="81">
        <f>+'2. melléklet'!D67</f>
        <v>12715106</v>
      </c>
      <c r="E22" s="81">
        <v>0</v>
      </c>
      <c r="F22" s="81">
        <v>3610000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10000000</v>
      </c>
      <c r="M22" s="81">
        <v>0</v>
      </c>
      <c r="N22" s="81">
        <v>0</v>
      </c>
      <c r="O22" s="101">
        <f t="shared" si="2"/>
        <v>26325106</v>
      </c>
    </row>
    <row r="23" spans="1:15" x14ac:dyDescent="0.25">
      <c r="A23" s="13" t="s">
        <v>405</v>
      </c>
      <c r="B23" s="7" t="s">
        <v>540</v>
      </c>
      <c r="C23" s="81">
        <v>0</v>
      </c>
      <c r="D23" s="81">
        <f>6011723+2794407</f>
        <v>8806130</v>
      </c>
      <c r="E23" s="81">
        <v>2254000</v>
      </c>
      <c r="F23" s="81">
        <f>270000+500000</f>
        <v>770000</v>
      </c>
      <c r="G23" s="81">
        <v>19140269</v>
      </c>
      <c r="H23" s="81">
        <v>75651000</v>
      </c>
      <c r="I23" s="81">
        <v>2000000</v>
      </c>
      <c r="J23" s="81">
        <v>2000000</v>
      </c>
      <c r="K23" s="81">
        <f>24560000+2000000</f>
        <v>26560000</v>
      </c>
      <c r="L23" s="81">
        <f>240393000+2000000</f>
        <v>242393000</v>
      </c>
      <c r="M23" s="81">
        <f>127988200+2000000</f>
        <v>129988200</v>
      </c>
      <c r="N23" s="81">
        <v>1500000</v>
      </c>
      <c r="O23" s="101">
        <f t="shared" si="2"/>
        <v>511062599</v>
      </c>
    </row>
    <row r="24" spans="1:15" x14ac:dyDescent="0.25">
      <c r="A24" s="13" t="s">
        <v>410</v>
      </c>
      <c r="B24" s="7" t="s">
        <v>541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30000000</v>
      </c>
      <c r="I24" s="81">
        <v>30000000</v>
      </c>
      <c r="J24" s="81">
        <v>30000000</v>
      </c>
      <c r="K24" s="81">
        <v>30000000</v>
      </c>
      <c r="L24" s="81">
        <v>22000000</v>
      </c>
      <c r="M24" s="81">
        <v>20000000</v>
      </c>
      <c r="N24" s="81">
        <v>20000000</v>
      </c>
      <c r="O24" s="101">
        <f t="shared" si="2"/>
        <v>182000000</v>
      </c>
    </row>
    <row r="25" spans="1:15" x14ac:dyDescent="0.25">
      <c r="A25" s="13" t="s">
        <v>418</v>
      </c>
      <c r="B25" s="7" t="s">
        <v>54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101">
        <f t="shared" si="2"/>
        <v>0</v>
      </c>
    </row>
    <row r="26" spans="1:15" x14ac:dyDescent="0.25">
      <c r="A26" s="13" t="s">
        <v>474</v>
      </c>
      <c r="B26" s="7" t="s">
        <v>569</v>
      </c>
      <c r="C26" s="81">
        <f>+'2. melléklet'!J113</f>
        <v>20065423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101">
        <f t="shared" si="2"/>
        <v>20065423</v>
      </c>
    </row>
    <row r="27" spans="1:15" s="25" customFormat="1" x14ac:dyDescent="0.25">
      <c r="A27" s="50" t="s">
        <v>572</v>
      </c>
      <c r="B27" s="51" t="s">
        <v>570</v>
      </c>
      <c r="C27" s="107">
        <f>SUM(C18:C26)</f>
        <v>105429848</v>
      </c>
      <c r="D27" s="107">
        <f t="shared" ref="D27:O27" si="3">SUM(D18:D26)</f>
        <v>106802327.91666667</v>
      </c>
      <c r="E27" s="107">
        <f t="shared" si="3"/>
        <v>87535091.916666672</v>
      </c>
      <c r="F27" s="107">
        <f t="shared" si="3"/>
        <v>89661091.916666672</v>
      </c>
      <c r="G27" s="107">
        <f t="shared" si="3"/>
        <v>104421360.91666667</v>
      </c>
      <c r="H27" s="107">
        <f t="shared" si="3"/>
        <v>190932091.91666669</v>
      </c>
      <c r="I27" s="107">
        <f t="shared" si="3"/>
        <v>117281091.91666667</v>
      </c>
      <c r="J27" s="107">
        <f t="shared" si="3"/>
        <v>117281091.91666667</v>
      </c>
      <c r="K27" s="107">
        <f t="shared" si="3"/>
        <v>141841091.91666669</v>
      </c>
      <c r="L27" s="107">
        <f t="shared" si="3"/>
        <v>359674091.91666669</v>
      </c>
      <c r="M27" s="107">
        <f t="shared" si="3"/>
        <v>235269291.91666669</v>
      </c>
      <c r="N27" s="107">
        <f t="shared" si="3"/>
        <v>106781091.91666667</v>
      </c>
      <c r="O27" s="107">
        <f t="shared" si="3"/>
        <v>1762909564.0833335</v>
      </c>
    </row>
    <row r="28" spans="1:15" x14ac:dyDescent="0.25"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</row>
    <row r="29" spans="1:15" s="25" customFormat="1" x14ac:dyDescent="0.25">
      <c r="A29" s="16"/>
      <c r="B29" s="16" t="s">
        <v>574</v>
      </c>
      <c r="C29" s="89">
        <f>+C14-C27</f>
        <v>-38507102.75</v>
      </c>
      <c r="D29" s="89">
        <f t="shared" ref="D29:O29" si="4">+D14-D27</f>
        <v>12606745.333333328</v>
      </c>
      <c r="E29" s="89">
        <f t="shared" si="4"/>
        <v>224902650.33333331</v>
      </c>
      <c r="F29" s="89">
        <f t="shared" si="4"/>
        <v>222803479.83333331</v>
      </c>
      <c r="G29" s="89">
        <f t="shared" si="4"/>
        <v>-51979655.666666672</v>
      </c>
      <c r="H29" s="89">
        <f t="shared" si="4"/>
        <v>44549613.333333313</v>
      </c>
      <c r="I29" s="89">
        <f t="shared" si="4"/>
        <v>-64839386.666666672</v>
      </c>
      <c r="J29" s="89">
        <f t="shared" si="4"/>
        <v>-64839386.666666672</v>
      </c>
      <c r="K29" s="89">
        <f t="shared" si="4"/>
        <v>240553639.83333331</v>
      </c>
      <c r="L29" s="89">
        <f t="shared" si="4"/>
        <v>-307232386.66666669</v>
      </c>
      <c r="M29" s="89">
        <f t="shared" si="4"/>
        <v>-182827586.66666669</v>
      </c>
      <c r="N29" s="89">
        <f t="shared" si="4"/>
        <v>-34273963.666666672</v>
      </c>
      <c r="O29" s="89">
        <f t="shared" si="4"/>
        <v>916663.91666650772</v>
      </c>
    </row>
  </sheetData>
  <mergeCells count="2">
    <mergeCell ref="A4:O4"/>
    <mergeCell ref="A16:O16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34D6-0D50-49E3-BCF4-79CD50C8F242}">
  <sheetPr>
    <pageSetUpPr fitToPage="1"/>
  </sheetPr>
  <dimension ref="A1:F12"/>
  <sheetViews>
    <sheetView workbookViewId="0">
      <selection activeCell="B19" sqref="B19"/>
    </sheetView>
  </sheetViews>
  <sheetFormatPr defaultRowHeight="15" x14ac:dyDescent="0.25"/>
  <cols>
    <col min="2" max="2" width="49.28515625" customWidth="1"/>
    <col min="3" max="6" width="29.7109375" customWidth="1"/>
    <col min="7" max="7" width="17.140625" customWidth="1"/>
  </cols>
  <sheetData>
    <row r="1" spans="1:6" x14ac:dyDescent="0.25">
      <c r="A1" s="12"/>
      <c r="B1" s="1"/>
      <c r="C1" s="1" t="s">
        <v>57</v>
      </c>
      <c r="D1" s="2"/>
      <c r="E1" s="2"/>
      <c r="F1" s="68" t="s">
        <v>685</v>
      </c>
    </row>
    <row r="2" spans="1:6" x14ac:dyDescent="0.25">
      <c r="C2" s="12" t="s">
        <v>684</v>
      </c>
    </row>
    <row r="4" spans="1:6" ht="44.25" customHeight="1" x14ac:dyDescent="0.25">
      <c r="A4" s="171" t="s">
        <v>0</v>
      </c>
      <c r="B4" s="171" t="s">
        <v>10</v>
      </c>
      <c r="C4" s="58" t="s">
        <v>16</v>
      </c>
      <c r="D4" s="27" t="s">
        <v>15</v>
      </c>
      <c r="E4" s="27" t="s">
        <v>650</v>
      </c>
      <c r="F4" s="56" t="s">
        <v>43</v>
      </c>
    </row>
    <row r="5" spans="1:6" x14ac:dyDescent="0.25">
      <c r="A5" s="171"/>
      <c r="B5" s="172"/>
      <c r="C5" s="197" t="s">
        <v>677</v>
      </c>
      <c r="D5" s="197"/>
      <c r="E5" s="197"/>
      <c r="F5" s="197"/>
    </row>
    <row r="6" spans="1:6" ht="16.5" customHeight="1" x14ac:dyDescent="0.25">
      <c r="A6" s="13" t="s">
        <v>17</v>
      </c>
      <c r="B6" s="7" t="s">
        <v>678</v>
      </c>
      <c r="C6" s="7"/>
      <c r="D6" s="7">
        <v>12</v>
      </c>
      <c r="E6" s="7"/>
      <c r="F6" s="7">
        <f>+C6+D6+E6</f>
        <v>12</v>
      </c>
    </row>
    <row r="7" spans="1:6" ht="16.5" customHeight="1" x14ac:dyDescent="0.25">
      <c r="A7" s="13" t="s">
        <v>18</v>
      </c>
      <c r="B7" s="7" t="s">
        <v>679</v>
      </c>
      <c r="C7" s="7">
        <v>2</v>
      </c>
      <c r="D7" s="7"/>
      <c r="E7" s="7">
        <v>13</v>
      </c>
      <c r="F7" s="7">
        <f t="shared" ref="F7:F10" si="0">+C7+D7+E7</f>
        <v>15</v>
      </c>
    </row>
    <row r="8" spans="1:6" ht="16.5" customHeight="1" x14ac:dyDescent="0.25">
      <c r="A8" s="13" t="s">
        <v>19</v>
      </c>
      <c r="B8" s="7" t="s">
        <v>680</v>
      </c>
      <c r="C8" s="7"/>
      <c r="D8" s="7"/>
      <c r="E8" s="7">
        <v>20</v>
      </c>
      <c r="F8" s="7">
        <f t="shared" si="0"/>
        <v>20</v>
      </c>
    </row>
    <row r="9" spans="1:6" ht="16.5" customHeight="1" x14ac:dyDescent="0.25">
      <c r="A9" s="13" t="s">
        <v>20</v>
      </c>
      <c r="B9" s="7" t="s">
        <v>682</v>
      </c>
      <c r="C9" s="7">
        <v>15</v>
      </c>
      <c r="D9" s="7"/>
      <c r="E9" s="7">
        <v>2</v>
      </c>
      <c r="F9" s="7">
        <f t="shared" si="0"/>
        <v>17</v>
      </c>
    </row>
    <row r="10" spans="1:6" ht="16.5" customHeight="1" x14ac:dyDescent="0.25">
      <c r="A10" s="13" t="s">
        <v>21</v>
      </c>
      <c r="B10" s="7" t="s">
        <v>681</v>
      </c>
      <c r="C10" s="7">
        <v>1</v>
      </c>
      <c r="D10" s="7"/>
      <c r="E10" s="7"/>
      <c r="F10" s="7">
        <f t="shared" si="0"/>
        <v>1</v>
      </c>
    </row>
    <row r="11" spans="1:6" ht="16.5" customHeight="1" x14ac:dyDescent="0.25">
      <c r="A11" s="13" t="s">
        <v>22</v>
      </c>
      <c r="B11" s="43" t="s">
        <v>683</v>
      </c>
      <c r="C11" s="43">
        <f>SUM(C6:C10)</f>
        <v>18</v>
      </c>
      <c r="D11" s="43">
        <f t="shared" ref="D11:F11" si="1">SUM(D6:D10)</f>
        <v>12</v>
      </c>
      <c r="E11" s="43">
        <f t="shared" si="1"/>
        <v>35</v>
      </c>
      <c r="F11" s="43">
        <f t="shared" si="1"/>
        <v>65</v>
      </c>
    </row>
    <row r="12" spans="1:6" x14ac:dyDescent="0.25">
      <c r="A12" s="12"/>
    </row>
  </sheetData>
  <mergeCells count="3">
    <mergeCell ref="A4:A5"/>
    <mergeCell ref="C5:F5"/>
    <mergeCell ref="B4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F794-A593-44D6-BC63-CC9AB8D5069D}">
  <sheetPr>
    <pageSetUpPr fitToPage="1"/>
  </sheetPr>
  <dimension ref="A1:F33"/>
  <sheetViews>
    <sheetView workbookViewId="0">
      <selection activeCell="C28" sqref="C28"/>
    </sheetView>
  </sheetViews>
  <sheetFormatPr defaultRowHeight="15" x14ac:dyDescent="0.25"/>
  <cols>
    <col min="1" max="1" width="9.7109375" customWidth="1"/>
    <col min="2" max="2" width="81.28515625" customWidth="1"/>
    <col min="3" max="3" width="64.5703125" customWidth="1"/>
    <col min="4" max="5" width="28.5703125" customWidth="1"/>
  </cols>
  <sheetData>
    <row r="1" spans="1:6" x14ac:dyDescent="0.25">
      <c r="B1" s="1" t="s">
        <v>57</v>
      </c>
      <c r="C1" s="1"/>
      <c r="D1" s="2"/>
      <c r="E1" s="68" t="s">
        <v>689</v>
      </c>
      <c r="F1" s="68"/>
    </row>
    <row r="2" spans="1:6" ht="30" x14ac:dyDescent="0.25">
      <c r="B2" s="69" t="s">
        <v>688</v>
      </c>
      <c r="C2" s="69"/>
      <c r="D2" s="2"/>
      <c r="E2" s="68"/>
      <c r="F2" s="68"/>
    </row>
    <row r="3" spans="1:6" x14ac:dyDescent="0.25">
      <c r="B3" s="1"/>
      <c r="C3" s="1"/>
      <c r="D3" s="2"/>
      <c r="E3" s="68"/>
      <c r="F3" s="68"/>
    </row>
    <row r="5" spans="1:6" x14ac:dyDescent="0.25">
      <c r="A5" s="115" t="s">
        <v>0</v>
      </c>
      <c r="B5" s="6" t="s">
        <v>1</v>
      </c>
      <c r="C5" s="6" t="s">
        <v>2</v>
      </c>
      <c r="D5" s="6" t="s">
        <v>3</v>
      </c>
      <c r="E5" s="6" t="s">
        <v>4</v>
      </c>
    </row>
    <row r="6" spans="1:6" x14ac:dyDescent="0.25">
      <c r="A6" s="115"/>
      <c r="B6" s="182" t="s">
        <v>699</v>
      </c>
      <c r="C6" s="186" t="s">
        <v>700</v>
      </c>
      <c r="D6" s="118" t="s">
        <v>686</v>
      </c>
      <c r="E6" s="118" t="s">
        <v>687</v>
      </c>
    </row>
    <row r="7" spans="1:6" x14ac:dyDescent="0.25">
      <c r="A7" s="115"/>
      <c r="B7" s="198"/>
      <c r="C7" s="200"/>
      <c r="D7" s="118"/>
      <c r="E7" s="118"/>
    </row>
    <row r="8" spans="1:6" x14ac:dyDescent="0.25">
      <c r="A8" s="115"/>
      <c r="B8" s="198"/>
      <c r="C8" s="190"/>
      <c r="D8" s="118"/>
      <c r="E8" s="118"/>
    </row>
    <row r="9" spans="1:6" x14ac:dyDescent="0.25">
      <c r="A9" s="6" t="s">
        <v>17</v>
      </c>
      <c r="B9" s="8" t="s">
        <v>702</v>
      </c>
      <c r="C9" s="7" t="s">
        <v>705</v>
      </c>
      <c r="D9" s="81">
        <v>50000000</v>
      </c>
      <c r="E9" s="83">
        <f>80178489-50000000</f>
        <v>30178489</v>
      </c>
    </row>
    <row r="10" spans="1:6" x14ac:dyDescent="0.25">
      <c r="A10" s="6" t="s">
        <v>18</v>
      </c>
      <c r="B10" s="8" t="s">
        <v>703</v>
      </c>
      <c r="C10" s="7" t="s">
        <v>704</v>
      </c>
      <c r="D10" s="81">
        <v>300000000</v>
      </c>
      <c r="E10" s="83">
        <v>0</v>
      </c>
    </row>
    <row r="11" spans="1:6" x14ac:dyDescent="0.25">
      <c r="A11" s="6" t="s">
        <v>19</v>
      </c>
      <c r="B11" s="8" t="s">
        <v>706</v>
      </c>
      <c r="C11" s="7" t="s">
        <v>707</v>
      </c>
      <c r="D11" s="81">
        <v>96076977</v>
      </c>
      <c r="E11" s="83">
        <v>0</v>
      </c>
    </row>
    <row r="12" spans="1:6" ht="30" x14ac:dyDescent="0.25">
      <c r="A12" s="6" t="s">
        <v>20</v>
      </c>
      <c r="B12" s="8" t="s">
        <v>708</v>
      </c>
      <c r="C12" s="7" t="s">
        <v>709</v>
      </c>
      <c r="D12" s="81">
        <v>127988200</v>
      </c>
      <c r="E12" s="83">
        <v>0</v>
      </c>
    </row>
    <row r="13" spans="1:6" x14ac:dyDescent="0.25">
      <c r="A13" s="6" t="s">
        <v>21</v>
      </c>
      <c r="B13" s="8" t="s">
        <v>712</v>
      </c>
      <c r="C13" s="7" t="s">
        <v>713</v>
      </c>
      <c r="D13" s="81">
        <v>22937724</v>
      </c>
      <c r="E13" s="83">
        <v>0</v>
      </c>
    </row>
    <row r="14" spans="1:6" ht="30" x14ac:dyDescent="0.25">
      <c r="A14" s="6" t="s">
        <v>22</v>
      </c>
      <c r="B14" s="8" t="s">
        <v>714</v>
      </c>
      <c r="C14" s="63">
        <v>4034965850</v>
      </c>
      <c r="D14" s="81">
        <v>17250000</v>
      </c>
      <c r="E14" s="83">
        <v>0</v>
      </c>
    </row>
    <row r="15" spans="1:6" ht="30" x14ac:dyDescent="0.25">
      <c r="A15" s="6" t="s">
        <v>23</v>
      </c>
      <c r="B15" s="8" t="s">
        <v>721</v>
      </c>
      <c r="C15" s="7"/>
      <c r="D15" s="81">
        <v>6964285</v>
      </c>
      <c r="E15" s="83">
        <v>100000</v>
      </c>
    </row>
    <row r="16" spans="1:6" x14ac:dyDescent="0.25">
      <c r="A16" s="6" t="s">
        <v>24</v>
      </c>
      <c r="B16" s="8" t="s">
        <v>749</v>
      </c>
      <c r="C16" s="7" t="s">
        <v>750</v>
      </c>
      <c r="D16" s="81">
        <v>149869713</v>
      </c>
      <c r="E16" s="83">
        <v>0</v>
      </c>
    </row>
    <row r="17" spans="1:5" x14ac:dyDescent="0.25">
      <c r="A17" s="6" t="s">
        <v>25</v>
      </c>
      <c r="B17" s="8"/>
      <c r="C17" s="7"/>
      <c r="D17" s="81"/>
      <c r="E17" s="83"/>
    </row>
    <row r="18" spans="1:5" x14ac:dyDescent="0.25">
      <c r="A18" s="6" t="s">
        <v>26</v>
      </c>
      <c r="B18" s="43" t="s">
        <v>505</v>
      </c>
      <c r="C18" s="43"/>
      <c r="D18" s="82">
        <f>SUM(D9:D17)</f>
        <v>771086899</v>
      </c>
      <c r="E18" s="84">
        <f>SUM(E9:E17)</f>
        <v>30278489</v>
      </c>
    </row>
    <row r="19" spans="1:5" x14ac:dyDescent="0.25">
      <c r="E19" s="73"/>
    </row>
    <row r="20" spans="1:5" x14ac:dyDescent="0.25">
      <c r="A20" s="115" t="s">
        <v>0</v>
      </c>
      <c r="B20" s="6" t="s">
        <v>1</v>
      </c>
      <c r="C20" s="6" t="s">
        <v>2</v>
      </c>
      <c r="D20" s="6" t="s">
        <v>3</v>
      </c>
      <c r="E20" s="6" t="s">
        <v>4</v>
      </c>
    </row>
    <row r="21" spans="1:5" x14ac:dyDescent="0.25">
      <c r="A21" s="115"/>
      <c r="B21" s="182" t="s">
        <v>701</v>
      </c>
      <c r="C21" s="186" t="s">
        <v>700</v>
      </c>
      <c r="D21" s="118" t="s">
        <v>686</v>
      </c>
      <c r="E21" s="199" t="s">
        <v>687</v>
      </c>
    </row>
    <row r="22" spans="1:5" x14ac:dyDescent="0.25">
      <c r="A22" s="115"/>
      <c r="B22" s="198"/>
      <c r="C22" s="200"/>
      <c r="D22" s="118"/>
      <c r="E22" s="199"/>
    </row>
    <row r="23" spans="1:5" x14ac:dyDescent="0.25">
      <c r="A23" s="115"/>
      <c r="B23" s="198"/>
      <c r="C23" s="190"/>
      <c r="D23" s="118"/>
      <c r="E23" s="199"/>
    </row>
    <row r="24" spans="1:5" x14ac:dyDescent="0.25">
      <c r="A24" s="6" t="s">
        <v>17</v>
      </c>
      <c r="B24" s="7" t="s">
        <v>710</v>
      </c>
      <c r="C24" s="7" t="s">
        <v>711</v>
      </c>
      <c r="D24" s="70">
        <v>5999999</v>
      </c>
      <c r="E24" s="70">
        <v>0</v>
      </c>
    </row>
    <row r="25" spans="1:5" x14ac:dyDescent="0.25">
      <c r="A25" s="6" t="s">
        <v>18</v>
      </c>
      <c r="B25" s="7" t="s">
        <v>715</v>
      </c>
      <c r="C25" s="7" t="s">
        <v>716</v>
      </c>
      <c r="D25" s="70">
        <v>14497761</v>
      </c>
      <c r="E25" s="70">
        <v>0</v>
      </c>
    </row>
    <row r="26" spans="1:5" x14ac:dyDescent="0.25">
      <c r="A26" s="6" t="s">
        <v>19</v>
      </c>
      <c r="B26" s="7" t="s">
        <v>719</v>
      </c>
      <c r="C26" s="7" t="s">
        <v>717</v>
      </c>
      <c r="D26" s="70">
        <v>1499995</v>
      </c>
      <c r="E26" s="70">
        <v>0</v>
      </c>
    </row>
    <row r="27" spans="1:5" x14ac:dyDescent="0.25">
      <c r="A27" s="6" t="s">
        <v>20</v>
      </c>
      <c r="B27" s="7" t="s">
        <v>718</v>
      </c>
      <c r="C27" s="7" t="s">
        <v>720</v>
      </c>
      <c r="D27" s="70">
        <v>22998834</v>
      </c>
      <c r="E27" s="70">
        <v>0</v>
      </c>
    </row>
    <row r="28" spans="1:5" x14ac:dyDescent="0.25">
      <c r="A28" s="6" t="s">
        <v>21</v>
      </c>
      <c r="B28" s="7" t="s">
        <v>746</v>
      </c>
      <c r="C28" s="7"/>
      <c r="D28" s="70">
        <v>500000</v>
      </c>
      <c r="E28" s="70">
        <v>0</v>
      </c>
    </row>
    <row r="29" spans="1:5" x14ac:dyDescent="0.25">
      <c r="A29" s="6" t="s">
        <v>22</v>
      </c>
      <c r="B29" s="7"/>
      <c r="C29" s="7"/>
      <c r="D29" s="70"/>
      <c r="E29" s="70"/>
    </row>
    <row r="30" spans="1:5" x14ac:dyDescent="0.25">
      <c r="A30" s="6" t="s">
        <v>23</v>
      </c>
      <c r="B30" s="7"/>
      <c r="C30" s="7"/>
      <c r="D30" s="70"/>
      <c r="E30" s="70"/>
    </row>
    <row r="31" spans="1:5" x14ac:dyDescent="0.25">
      <c r="A31" s="6" t="s">
        <v>24</v>
      </c>
      <c r="B31" s="7"/>
      <c r="C31" s="7"/>
      <c r="D31" s="70"/>
      <c r="E31" s="70"/>
    </row>
    <row r="32" spans="1:5" x14ac:dyDescent="0.25">
      <c r="A32" s="6" t="s">
        <v>25</v>
      </c>
      <c r="B32" s="7"/>
      <c r="C32" s="7"/>
      <c r="D32" s="70"/>
      <c r="E32" s="70"/>
    </row>
    <row r="33" spans="1:5" x14ac:dyDescent="0.25">
      <c r="A33" s="6" t="s">
        <v>26</v>
      </c>
      <c r="B33" s="43" t="s">
        <v>505</v>
      </c>
      <c r="C33" s="43"/>
      <c r="D33" s="71">
        <f>SUM(D24:D32)</f>
        <v>45496589</v>
      </c>
      <c r="E33" s="71">
        <f>SUM(E24:E32)</f>
        <v>0</v>
      </c>
    </row>
  </sheetData>
  <mergeCells count="10">
    <mergeCell ref="A20:A23"/>
    <mergeCell ref="B21:B23"/>
    <mergeCell ref="D21:D23"/>
    <mergeCell ref="E21:E23"/>
    <mergeCell ref="A5:A8"/>
    <mergeCell ref="B6:B8"/>
    <mergeCell ref="D6:D8"/>
    <mergeCell ref="E6:E8"/>
    <mergeCell ref="C6:C8"/>
    <mergeCell ref="C21:C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A69B-42EF-402A-AE14-5148200EFD65}">
  <dimension ref="A1:K120"/>
  <sheetViews>
    <sheetView workbookViewId="0">
      <pane ySplit="9" topLeftCell="A10" activePane="bottomLeft" state="frozen"/>
      <selection pane="bottomLeft" activeCell="H15" sqref="H15"/>
    </sheetView>
  </sheetViews>
  <sheetFormatPr defaultRowHeight="15" x14ac:dyDescent="0.25"/>
  <cols>
    <col min="1" max="1" width="8.42578125" style="12" customWidth="1"/>
    <col min="2" max="2" width="48" customWidth="1"/>
    <col min="3" max="3" width="9.28515625" customWidth="1"/>
    <col min="4" max="11" width="15.5703125" customWidth="1"/>
    <col min="16" max="16" width="10" bestFit="1" customWidth="1"/>
  </cols>
  <sheetData>
    <row r="1" spans="1:11" x14ac:dyDescent="0.25">
      <c r="B1" s="1"/>
      <c r="C1" s="1"/>
      <c r="D1" s="1" t="s">
        <v>57</v>
      </c>
      <c r="E1" s="2"/>
      <c r="F1" s="2"/>
      <c r="G1" s="2"/>
      <c r="H1" s="2"/>
      <c r="I1" s="2" t="s">
        <v>201</v>
      </c>
      <c r="J1" s="2"/>
    </row>
    <row r="2" spans="1:11" x14ac:dyDescent="0.25">
      <c r="B2" s="5"/>
      <c r="C2" s="9"/>
      <c r="D2" s="9" t="s">
        <v>581</v>
      </c>
    </row>
    <row r="3" spans="1:11" ht="15.75" x14ac:dyDescent="0.25">
      <c r="B3" s="5"/>
      <c r="C3" s="9"/>
      <c r="D3" s="21" t="s">
        <v>580</v>
      </c>
    </row>
    <row r="5" spans="1:11" ht="18.75" x14ac:dyDescent="0.25">
      <c r="A5" s="125" t="s">
        <v>583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x14ac:dyDescent="0.25">
      <c r="A6" s="115" t="s">
        <v>0</v>
      </c>
      <c r="B6" s="6" t="s">
        <v>1</v>
      </c>
      <c r="C6" s="6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59</v>
      </c>
    </row>
    <row r="7" spans="1:11" ht="45.75" customHeight="1" x14ac:dyDescent="0.25">
      <c r="A7" s="115"/>
      <c r="B7" s="115" t="s">
        <v>10</v>
      </c>
      <c r="C7" s="115" t="s">
        <v>58</v>
      </c>
      <c r="D7" s="124" t="s">
        <v>16</v>
      </c>
      <c r="E7" s="124"/>
      <c r="F7" s="124" t="s">
        <v>15</v>
      </c>
      <c r="G7" s="124"/>
      <c r="H7" s="115" t="s">
        <v>650</v>
      </c>
      <c r="I7" s="115"/>
      <c r="J7" s="124" t="s">
        <v>43</v>
      </c>
      <c r="K7" s="124"/>
    </row>
    <row r="8" spans="1:11" x14ac:dyDescent="0.25">
      <c r="A8" s="115"/>
      <c r="B8" s="122"/>
      <c r="C8" s="122"/>
      <c r="D8" s="3" t="s">
        <v>11</v>
      </c>
      <c r="E8" s="3" t="s">
        <v>12</v>
      </c>
      <c r="F8" s="3" t="s">
        <v>11</v>
      </c>
      <c r="G8" s="3" t="s">
        <v>12</v>
      </c>
      <c r="H8" s="3" t="s">
        <v>11</v>
      </c>
      <c r="I8" s="3" t="s">
        <v>12</v>
      </c>
      <c r="J8" s="3" t="s">
        <v>11</v>
      </c>
      <c r="K8" s="3" t="s">
        <v>12</v>
      </c>
    </row>
    <row r="9" spans="1:11" x14ac:dyDescent="0.25">
      <c r="A9" s="115"/>
      <c r="B9" s="122"/>
      <c r="C9" s="122"/>
      <c r="D9" s="123" t="s">
        <v>13</v>
      </c>
      <c r="E9" s="128"/>
      <c r="F9" s="123" t="s">
        <v>13</v>
      </c>
      <c r="G9" s="123"/>
      <c r="H9" s="123" t="s">
        <v>13</v>
      </c>
      <c r="I9" s="123"/>
      <c r="J9" s="123" t="s">
        <v>13</v>
      </c>
      <c r="K9" s="123"/>
    </row>
    <row r="10" spans="1:11" x14ac:dyDescent="0.25">
      <c r="A10" s="13" t="s">
        <v>17</v>
      </c>
      <c r="B10" s="110" t="s">
        <v>268</v>
      </c>
      <c r="C10" s="6" t="s">
        <v>337</v>
      </c>
      <c r="D10" s="70">
        <v>90000000</v>
      </c>
      <c r="E10" s="70"/>
      <c r="F10" s="70">
        <f>114026000+1000000-3</f>
        <v>115025997</v>
      </c>
      <c r="G10" s="70"/>
      <c r="H10" s="70">
        <f>265000000-940000</f>
        <v>264060000</v>
      </c>
      <c r="I10" s="70"/>
      <c r="J10" s="70">
        <f>+D10+F10+H10</f>
        <v>469085997</v>
      </c>
      <c r="K10" s="70">
        <f>+E10+G10+I10</f>
        <v>0</v>
      </c>
    </row>
    <row r="11" spans="1:11" x14ac:dyDescent="0.25">
      <c r="A11" s="13" t="s">
        <v>18</v>
      </c>
      <c r="B11" s="110" t="s">
        <v>269</v>
      </c>
      <c r="C11" s="6" t="s">
        <v>338</v>
      </c>
      <c r="D11" s="70">
        <v>0</v>
      </c>
      <c r="E11" s="70"/>
      <c r="F11" s="70">
        <v>0</v>
      </c>
      <c r="G11" s="70"/>
      <c r="H11" s="70">
        <v>0</v>
      </c>
      <c r="I11" s="70"/>
      <c r="J11" s="70">
        <f t="shared" ref="J11:J26" si="0">+D11+F11+H11</f>
        <v>0</v>
      </c>
      <c r="K11" s="70">
        <f t="shared" ref="K11:K26" si="1">+E11+G11+I11</f>
        <v>0</v>
      </c>
    </row>
    <row r="12" spans="1:11" x14ac:dyDescent="0.25">
      <c r="A12" s="13" t="s">
        <v>19</v>
      </c>
      <c r="B12" s="110" t="s">
        <v>270</v>
      </c>
      <c r="C12" s="6" t="s">
        <v>339</v>
      </c>
      <c r="D12" s="70">
        <v>9000000</v>
      </c>
      <c r="E12" s="70"/>
      <c r="F12" s="70">
        <v>9600000</v>
      </c>
      <c r="G12" s="70"/>
      <c r="H12" s="70">
        <v>11428000</v>
      </c>
      <c r="I12" s="70"/>
      <c r="J12" s="70">
        <f t="shared" si="0"/>
        <v>30028000</v>
      </c>
      <c r="K12" s="70">
        <f t="shared" si="1"/>
        <v>0</v>
      </c>
    </row>
    <row r="13" spans="1:11" ht="30" x14ac:dyDescent="0.25">
      <c r="A13" s="13" t="s">
        <v>20</v>
      </c>
      <c r="B13" s="110" t="s">
        <v>271</v>
      </c>
      <c r="C13" s="6" t="s">
        <v>340</v>
      </c>
      <c r="D13" s="70">
        <v>0</v>
      </c>
      <c r="E13" s="70"/>
      <c r="F13" s="70">
        <v>0</v>
      </c>
      <c r="G13" s="70"/>
      <c r="H13" s="70">
        <v>4000000</v>
      </c>
      <c r="I13" s="70"/>
      <c r="J13" s="70">
        <f t="shared" si="0"/>
        <v>4000000</v>
      </c>
      <c r="K13" s="70">
        <f t="shared" si="1"/>
        <v>0</v>
      </c>
    </row>
    <row r="14" spans="1:11" x14ac:dyDescent="0.25">
      <c r="A14" s="13" t="s">
        <v>21</v>
      </c>
      <c r="B14" s="110" t="s">
        <v>272</v>
      </c>
      <c r="C14" s="6" t="s">
        <v>341</v>
      </c>
      <c r="D14" s="70">
        <v>0</v>
      </c>
      <c r="E14" s="70"/>
      <c r="F14" s="70">
        <v>0</v>
      </c>
      <c r="G14" s="70"/>
      <c r="H14" s="70">
        <v>0</v>
      </c>
      <c r="I14" s="70"/>
      <c r="J14" s="70">
        <f t="shared" si="0"/>
        <v>0</v>
      </c>
      <c r="K14" s="70">
        <f t="shared" si="1"/>
        <v>0</v>
      </c>
    </row>
    <row r="15" spans="1:11" x14ac:dyDescent="0.25">
      <c r="A15" s="13" t="s">
        <v>22</v>
      </c>
      <c r="B15" s="110" t="s">
        <v>273</v>
      </c>
      <c r="C15" s="6" t="s">
        <v>342</v>
      </c>
      <c r="D15" s="70">
        <v>0</v>
      </c>
      <c r="E15" s="70"/>
      <c r="F15" s="70">
        <v>0</v>
      </c>
      <c r="G15" s="70"/>
      <c r="H15" s="70">
        <v>1840000</v>
      </c>
      <c r="I15" s="70"/>
      <c r="J15" s="70">
        <f t="shared" si="0"/>
        <v>1840000</v>
      </c>
      <c r="K15" s="70">
        <f t="shared" si="1"/>
        <v>0</v>
      </c>
    </row>
    <row r="16" spans="1:11" x14ac:dyDescent="0.25">
      <c r="A16" s="13" t="s">
        <v>23</v>
      </c>
      <c r="B16" s="110" t="s">
        <v>274</v>
      </c>
      <c r="C16" s="6" t="s">
        <v>343</v>
      </c>
      <c r="D16" s="70">
        <f>3500000+2500000</f>
        <v>6000000</v>
      </c>
      <c r="E16" s="70"/>
      <c r="F16" s="70">
        <f>5520000+2000000</f>
        <v>7520000</v>
      </c>
      <c r="G16" s="70"/>
      <c r="H16" s="70">
        <f>8190000+9951015</f>
        <v>18141015</v>
      </c>
      <c r="I16" s="70"/>
      <c r="J16" s="70">
        <f t="shared" si="0"/>
        <v>31661015</v>
      </c>
      <c r="K16" s="70">
        <f t="shared" si="1"/>
        <v>0</v>
      </c>
    </row>
    <row r="17" spans="1:11" x14ac:dyDescent="0.25">
      <c r="A17" s="13" t="s">
        <v>24</v>
      </c>
      <c r="B17" s="110" t="s">
        <v>275</v>
      </c>
      <c r="C17" s="6" t="s">
        <v>344</v>
      </c>
      <c r="D17" s="70">
        <v>0</v>
      </c>
      <c r="E17" s="70"/>
      <c r="F17" s="70">
        <v>60000</v>
      </c>
      <c r="G17" s="70"/>
      <c r="H17" s="70">
        <v>0</v>
      </c>
      <c r="I17" s="70"/>
      <c r="J17" s="70">
        <f t="shared" si="0"/>
        <v>60000</v>
      </c>
      <c r="K17" s="70">
        <f t="shared" si="1"/>
        <v>0</v>
      </c>
    </row>
    <row r="18" spans="1:11" x14ac:dyDescent="0.25">
      <c r="A18" s="13" t="s">
        <v>25</v>
      </c>
      <c r="B18" s="110" t="s">
        <v>276</v>
      </c>
      <c r="C18" s="6" t="s">
        <v>345</v>
      </c>
      <c r="D18" s="70">
        <v>700000</v>
      </c>
      <c r="E18" s="70"/>
      <c r="F18" s="70">
        <v>600000</v>
      </c>
      <c r="G18" s="70"/>
      <c r="H18" s="70">
        <v>1300000</v>
      </c>
      <c r="I18" s="70"/>
      <c r="J18" s="70">
        <f t="shared" si="0"/>
        <v>2600000</v>
      </c>
      <c r="K18" s="70">
        <f t="shared" si="1"/>
        <v>0</v>
      </c>
    </row>
    <row r="19" spans="1:11" x14ac:dyDescent="0.25">
      <c r="A19" s="13" t="s">
        <v>26</v>
      </c>
      <c r="B19" s="110" t="s">
        <v>277</v>
      </c>
      <c r="C19" s="6" t="s">
        <v>346</v>
      </c>
      <c r="D19" s="70">
        <v>0</v>
      </c>
      <c r="E19" s="70"/>
      <c r="F19" s="70">
        <v>72000</v>
      </c>
      <c r="G19" s="70"/>
      <c r="H19" s="70">
        <v>0</v>
      </c>
      <c r="I19" s="70"/>
      <c r="J19" s="70">
        <f t="shared" si="0"/>
        <v>72000</v>
      </c>
      <c r="K19" s="70">
        <f t="shared" si="1"/>
        <v>0</v>
      </c>
    </row>
    <row r="20" spans="1:11" x14ac:dyDescent="0.25">
      <c r="A20" s="13" t="s">
        <v>27</v>
      </c>
      <c r="B20" s="110" t="s">
        <v>278</v>
      </c>
      <c r="C20" s="6" t="s">
        <v>347</v>
      </c>
      <c r="D20" s="70">
        <v>0</v>
      </c>
      <c r="E20" s="70"/>
      <c r="F20" s="70">
        <v>0</v>
      </c>
      <c r="G20" s="70"/>
      <c r="H20" s="70">
        <v>0</v>
      </c>
      <c r="I20" s="70"/>
      <c r="J20" s="70">
        <f t="shared" si="0"/>
        <v>0</v>
      </c>
      <c r="K20" s="70">
        <f t="shared" si="1"/>
        <v>0</v>
      </c>
    </row>
    <row r="21" spans="1:11" x14ac:dyDescent="0.25">
      <c r="A21" s="13" t="s">
        <v>28</v>
      </c>
      <c r="B21" s="110" t="s">
        <v>279</v>
      </c>
      <c r="C21" s="6" t="s">
        <v>348</v>
      </c>
      <c r="D21" s="70">
        <v>0</v>
      </c>
      <c r="E21" s="70"/>
      <c r="F21" s="70">
        <v>0</v>
      </c>
      <c r="G21" s="70"/>
      <c r="H21" s="70">
        <v>0</v>
      </c>
      <c r="I21" s="70"/>
      <c r="J21" s="70">
        <f t="shared" si="0"/>
        <v>0</v>
      </c>
      <c r="K21" s="70">
        <f t="shared" si="1"/>
        <v>0</v>
      </c>
    </row>
    <row r="22" spans="1:11" x14ac:dyDescent="0.25">
      <c r="A22" s="13" t="s">
        <v>29</v>
      </c>
      <c r="B22" s="110" t="s">
        <v>280</v>
      </c>
      <c r="C22" s="6" t="s">
        <v>349</v>
      </c>
      <c r="D22" s="70">
        <v>2500000</v>
      </c>
      <c r="E22" s="70"/>
      <c r="F22" s="70">
        <v>1000000</v>
      </c>
      <c r="G22" s="70"/>
      <c r="H22" s="70">
        <v>3500000</v>
      </c>
      <c r="I22" s="70"/>
      <c r="J22" s="70">
        <f t="shared" si="0"/>
        <v>7000000</v>
      </c>
      <c r="K22" s="70">
        <f t="shared" si="1"/>
        <v>0</v>
      </c>
    </row>
    <row r="23" spans="1:11" x14ac:dyDescent="0.25">
      <c r="A23" s="13" t="s">
        <v>30</v>
      </c>
      <c r="B23" s="112" t="s">
        <v>281</v>
      </c>
      <c r="C23" s="37" t="s">
        <v>350</v>
      </c>
      <c r="D23" s="75">
        <f>SUM(D10:D22)</f>
        <v>108200000</v>
      </c>
      <c r="E23" s="75">
        <f t="shared" ref="E23:K23" si="2">SUM(E10:E22)</f>
        <v>0</v>
      </c>
      <c r="F23" s="75">
        <f t="shared" si="2"/>
        <v>133877997</v>
      </c>
      <c r="G23" s="75">
        <f t="shared" si="2"/>
        <v>0</v>
      </c>
      <c r="H23" s="75">
        <f t="shared" si="2"/>
        <v>304269015</v>
      </c>
      <c r="I23" s="75">
        <f t="shared" si="2"/>
        <v>0</v>
      </c>
      <c r="J23" s="75">
        <f t="shared" si="2"/>
        <v>546347012</v>
      </c>
      <c r="K23" s="75">
        <f t="shared" si="2"/>
        <v>0</v>
      </c>
    </row>
    <row r="24" spans="1:11" x14ac:dyDescent="0.25">
      <c r="A24" s="13" t="s">
        <v>31</v>
      </c>
      <c r="B24" s="110" t="s">
        <v>282</v>
      </c>
      <c r="C24" s="6" t="s">
        <v>351</v>
      </c>
      <c r="D24" s="70">
        <f>35200000+1000000</f>
        <v>36200000</v>
      </c>
      <c r="E24" s="70"/>
      <c r="F24" s="70">
        <v>0</v>
      </c>
      <c r="G24" s="70"/>
      <c r="H24" s="70">
        <v>0</v>
      </c>
      <c r="I24" s="70"/>
      <c r="J24" s="70">
        <f t="shared" si="0"/>
        <v>36200000</v>
      </c>
      <c r="K24" s="70">
        <f t="shared" si="1"/>
        <v>0</v>
      </c>
    </row>
    <row r="25" spans="1:11" ht="30" x14ac:dyDescent="0.25">
      <c r="A25" s="13" t="s">
        <v>32</v>
      </c>
      <c r="B25" s="110" t="s">
        <v>283</v>
      </c>
      <c r="C25" s="6" t="s">
        <v>352</v>
      </c>
      <c r="D25" s="70">
        <v>11000000</v>
      </c>
      <c r="E25" s="70"/>
      <c r="F25" s="70">
        <v>300000</v>
      </c>
      <c r="G25" s="70"/>
      <c r="H25" s="70">
        <v>4600000</v>
      </c>
      <c r="I25" s="70"/>
      <c r="J25" s="70">
        <f t="shared" si="0"/>
        <v>15900000</v>
      </c>
      <c r="K25" s="70">
        <f t="shared" si="1"/>
        <v>0</v>
      </c>
    </row>
    <row r="26" spans="1:11" x14ac:dyDescent="0.25">
      <c r="A26" s="13" t="s">
        <v>33</v>
      </c>
      <c r="B26" s="110" t="s">
        <v>284</v>
      </c>
      <c r="C26" s="6" t="s">
        <v>353</v>
      </c>
      <c r="D26" s="70">
        <v>7000000</v>
      </c>
      <c r="E26" s="70"/>
      <c r="F26" s="70">
        <v>300000</v>
      </c>
      <c r="G26" s="70"/>
      <c r="H26" s="70">
        <v>900000</v>
      </c>
      <c r="I26" s="70"/>
      <c r="J26" s="70">
        <f t="shared" si="0"/>
        <v>8200000</v>
      </c>
      <c r="K26" s="70">
        <f t="shared" si="1"/>
        <v>0</v>
      </c>
    </row>
    <row r="27" spans="1:11" x14ac:dyDescent="0.25">
      <c r="A27" s="13" t="s">
        <v>34</v>
      </c>
      <c r="B27" s="112" t="s">
        <v>285</v>
      </c>
      <c r="C27" s="37" t="s">
        <v>354</v>
      </c>
      <c r="D27" s="75">
        <f>SUM(D24:D26)</f>
        <v>54200000</v>
      </c>
      <c r="E27" s="75">
        <f t="shared" ref="E27:K27" si="3">SUM(E24:E26)</f>
        <v>0</v>
      </c>
      <c r="F27" s="75">
        <f t="shared" si="3"/>
        <v>600000</v>
      </c>
      <c r="G27" s="75">
        <f t="shared" si="3"/>
        <v>0</v>
      </c>
      <c r="H27" s="75">
        <f t="shared" si="3"/>
        <v>5500000</v>
      </c>
      <c r="I27" s="75">
        <f t="shared" si="3"/>
        <v>0</v>
      </c>
      <c r="J27" s="75">
        <f t="shared" si="3"/>
        <v>60300000</v>
      </c>
      <c r="K27" s="75">
        <f t="shared" si="3"/>
        <v>0</v>
      </c>
    </row>
    <row r="28" spans="1:11" x14ac:dyDescent="0.25">
      <c r="A28" s="13" t="s">
        <v>35</v>
      </c>
      <c r="B28" s="111" t="s">
        <v>286</v>
      </c>
      <c r="C28" s="31" t="s">
        <v>355</v>
      </c>
      <c r="D28" s="71">
        <f>+D23+D27</f>
        <v>162400000</v>
      </c>
      <c r="E28" s="71">
        <f t="shared" ref="E28:K28" si="4">+E23+E27</f>
        <v>0</v>
      </c>
      <c r="F28" s="71">
        <f t="shared" si="4"/>
        <v>134477997</v>
      </c>
      <c r="G28" s="71">
        <f t="shared" si="4"/>
        <v>0</v>
      </c>
      <c r="H28" s="71">
        <f t="shared" si="4"/>
        <v>309769015</v>
      </c>
      <c r="I28" s="71">
        <f t="shared" si="4"/>
        <v>0</v>
      </c>
      <c r="J28" s="71">
        <f t="shared" si="4"/>
        <v>606647012</v>
      </c>
      <c r="K28" s="71">
        <f t="shared" si="4"/>
        <v>0</v>
      </c>
    </row>
    <row r="29" spans="1:11" ht="30" x14ac:dyDescent="0.25">
      <c r="A29" s="13" t="s">
        <v>36</v>
      </c>
      <c r="B29" s="111" t="s">
        <v>50</v>
      </c>
      <c r="C29" s="31" t="s">
        <v>356</v>
      </c>
      <c r="D29" s="71">
        <f>21965000+980000</f>
        <v>22945000</v>
      </c>
      <c r="E29" s="71"/>
      <c r="F29" s="71">
        <f>17140000+560000</f>
        <v>17700000</v>
      </c>
      <c r="G29" s="71"/>
      <c r="H29" s="71">
        <f>34667000+2786284</f>
        <v>37453284</v>
      </c>
      <c r="I29" s="71"/>
      <c r="J29" s="71">
        <f>+D29+F29+H29</f>
        <v>78098284</v>
      </c>
      <c r="K29" s="71">
        <f>+E29+G29+I29</f>
        <v>0</v>
      </c>
    </row>
    <row r="30" spans="1:11" x14ac:dyDescent="0.25">
      <c r="A30" s="13" t="s">
        <v>37</v>
      </c>
      <c r="B30" s="110" t="s">
        <v>287</v>
      </c>
      <c r="C30" s="6" t="s">
        <v>358</v>
      </c>
      <c r="D30" s="70">
        <v>1300000</v>
      </c>
      <c r="E30" s="70"/>
      <c r="F30" s="70">
        <v>200000</v>
      </c>
      <c r="G30" s="70"/>
      <c r="H30" s="70">
        <v>50000</v>
      </c>
      <c r="I30" s="70"/>
      <c r="J30" s="70">
        <f t="shared" ref="J30:K47" si="5">+D30+F30+H30</f>
        <v>1550000</v>
      </c>
      <c r="K30" s="70">
        <f t="shared" si="5"/>
        <v>0</v>
      </c>
    </row>
    <row r="31" spans="1:11" x14ac:dyDescent="0.25">
      <c r="A31" s="13" t="s">
        <v>38</v>
      </c>
      <c r="B31" s="110" t="s">
        <v>288</v>
      </c>
      <c r="C31" s="6" t="s">
        <v>359</v>
      </c>
      <c r="D31" s="70">
        <v>11000000</v>
      </c>
      <c r="E31" s="70"/>
      <c r="F31" s="70">
        <v>700000</v>
      </c>
      <c r="G31" s="70"/>
      <c r="H31" s="79">
        <v>2500000</v>
      </c>
      <c r="I31" s="70"/>
      <c r="J31" s="70">
        <f t="shared" si="5"/>
        <v>14200000</v>
      </c>
      <c r="K31" s="70">
        <f t="shared" si="5"/>
        <v>0</v>
      </c>
    </row>
    <row r="32" spans="1:11" x14ac:dyDescent="0.25">
      <c r="A32" s="13" t="s">
        <v>39</v>
      </c>
      <c r="B32" s="110" t="s">
        <v>289</v>
      </c>
      <c r="C32" s="6" t="s">
        <v>360</v>
      </c>
      <c r="D32" s="70">
        <v>0</v>
      </c>
      <c r="E32" s="70"/>
      <c r="F32" s="70">
        <v>0</v>
      </c>
      <c r="G32" s="70"/>
      <c r="H32" s="70">
        <v>0</v>
      </c>
      <c r="I32" s="70"/>
      <c r="J32" s="70">
        <f t="shared" si="5"/>
        <v>0</v>
      </c>
      <c r="K32" s="70">
        <f t="shared" si="5"/>
        <v>0</v>
      </c>
    </row>
    <row r="33" spans="1:11" x14ac:dyDescent="0.25">
      <c r="A33" s="13" t="s">
        <v>40</v>
      </c>
      <c r="B33" s="112" t="s">
        <v>290</v>
      </c>
      <c r="C33" s="37" t="s">
        <v>361</v>
      </c>
      <c r="D33" s="75">
        <f>SUM(D30:D32)</f>
        <v>12300000</v>
      </c>
      <c r="E33" s="75">
        <f t="shared" ref="E33:K33" si="6">SUM(E30:E32)</f>
        <v>0</v>
      </c>
      <c r="F33" s="75">
        <f t="shared" si="6"/>
        <v>900000</v>
      </c>
      <c r="G33" s="75">
        <f t="shared" si="6"/>
        <v>0</v>
      </c>
      <c r="H33" s="75">
        <f t="shared" si="6"/>
        <v>2550000</v>
      </c>
      <c r="I33" s="75">
        <f t="shared" si="6"/>
        <v>0</v>
      </c>
      <c r="J33" s="75">
        <f t="shared" si="6"/>
        <v>15750000</v>
      </c>
      <c r="K33" s="75">
        <f t="shared" si="6"/>
        <v>0</v>
      </c>
    </row>
    <row r="34" spans="1:11" x14ac:dyDescent="0.25">
      <c r="A34" s="13" t="s">
        <v>41</v>
      </c>
      <c r="B34" s="110" t="s">
        <v>291</v>
      </c>
      <c r="C34" s="6" t="s">
        <v>362</v>
      </c>
      <c r="D34" s="70">
        <v>3000000</v>
      </c>
      <c r="E34" s="70"/>
      <c r="F34" s="70">
        <v>1200000</v>
      </c>
      <c r="G34" s="70"/>
      <c r="H34" s="70">
        <v>800000</v>
      </c>
      <c r="I34" s="70"/>
      <c r="J34" s="70">
        <f t="shared" si="5"/>
        <v>5000000</v>
      </c>
      <c r="K34" s="70">
        <f t="shared" si="5"/>
        <v>0</v>
      </c>
    </row>
    <row r="35" spans="1:11" x14ac:dyDescent="0.25">
      <c r="A35" s="13" t="s">
        <v>42</v>
      </c>
      <c r="B35" s="110" t="s">
        <v>292</v>
      </c>
      <c r="C35" s="6" t="s">
        <v>363</v>
      </c>
      <c r="D35" s="70">
        <v>1200000</v>
      </c>
      <c r="E35" s="70"/>
      <c r="F35" s="70">
        <v>100000</v>
      </c>
      <c r="G35" s="70"/>
      <c r="H35" s="70">
        <v>250000</v>
      </c>
      <c r="I35" s="70"/>
      <c r="J35" s="70">
        <f t="shared" si="5"/>
        <v>1550000</v>
      </c>
      <c r="K35" s="70">
        <f t="shared" si="5"/>
        <v>0</v>
      </c>
    </row>
    <row r="36" spans="1:11" x14ac:dyDescent="0.25">
      <c r="A36" s="13" t="s">
        <v>60</v>
      </c>
      <c r="B36" s="112" t="s">
        <v>293</v>
      </c>
      <c r="C36" s="37" t="s">
        <v>364</v>
      </c>
      <c r="D36" s="75">
        <f>SUM(D34:D35)</f>
        <v>4200000</v>
      </c>
      <c r="E36" s="75">
        <f t="shared" ref="E36:K36" si="7">SUM(E34:E35)</f>
        <v>0</v>
      </c>
      <c r="F36" s="75">
        <f t="shared" si="7"/>
        <v>1300000</v>
      </c>
      <c r="G36" s="75">
        <f t="shared" si="7"/>
        <v>0</v>
      </c>
      <c r="H36" s="75">
        <f t="shared" si="7"/>
        <v>1050000</v>
      </c>
      <c r="I36" s="75">
        <f t="shared" si="7"/>
        <v>0</v>
      </c>
      <c r="J36" s="75">
        <f t="shared" si="7"/>
        <v>6550000</v>
      </c>
      <c r="K36" s="75">
        <f t="shared" si="7"/>
        <v>0</v>
      </c>
    </row>
    <row r="37" spans="1:11" x14ac:dyDescent="0.25">
      <c r="A37" s="13" t="s">
        <v>61</v>
      </c>
      <c r="B37" s="110" t="s">
        <v>693</v>
      </c>
      <c r="C37" s="6" t="s">
        <v>696</v>
      </c>
      <c r="D37" s="70">
        <v>21000000</v>
      </c>
      <c r="E37" s="70"/>
      <c r="F37" s="70">
        <v>100000</v>
      </c>
      <c r="G37" s="70"/>
      <c r="H37" s="70">
        <v>2500000</v>
      </c>
      <c r="I37" s="70"/>
      <c r="J37" s="70">
        <f t="shared" si="5"/>
        <v>23600000</v>
      </c>
      <c r="K37" s="70">
        <f t="shared" si="5"/>
        <v>0</v>
      </c>
    </row>
    <row r="38" spans="1:11" x14ac:dyDescent="0.25">
      <c r="A38" s="13" t="s">
        <v>62</v>
      </c>
      <c r="B38" s="110" t="s">
        <v>694</v>
      </c>
      <c r="C38" s="6" t="s">
        <v>697</v>
      </c>
      <c r="D38" s="70">
        <v>14000000</v>
      </c>
      <c r="E38" s="70"/>
      <c r="F38" s="70">
        <v>1800000</v>
      </c>
      <c r="G38" s="70"/>
      <c r="H38" s="70">
        <v>1700000</v>
      </c>
      <c r="I38" s="70"/>
      <c r="J38" s="70">
        <f t="shared" si="5"/>
        <v>17500000</v>
      </c>
      <c r="K38" s="70">
        <f t="shared" si="5"/>
        <v>0</v>
      </c>
    </row>
    <row r="39" spans="1:11" x14ac:dyDescent="0.25">
      <c r="A39" s="13" t="s">
        <v>63</v>
      </c>
      <c r="B39" s="110" t="s">
        <v>695</v>
      </c>
      <c r="C39" s="6" t="s">
        <v>698</v>
      </c>
      <c r="D39" s="70">
        <v>2600000</v>
      </c>
      <c r="E39" s="70"/>
      <c r="F39" s="70">
        <v>200000</v>
      </c>
      <c r="G39" s="70"/>
      <c r="H39" s="70">
        <v>1600000</v>
      </c>
      <c r="I39" s="70"/>
      <c r="J39" s="70">
        <f t="shared" si="5"/>
        <v>4400000</v>
      </c>
      <c r="K39" s="70">
        <f t="shared" si="5"/>
        <v>0</v>
      </c>
    </row>
    <row r="40" spans="1:11" x14ac:dyDescent="0.25">
      <c r="A40" s="13" t="s">
        <v>64</v>
      </c>
      <c r="B40" s="110" t="s">
        <v>294</v>
      </c>
      <c r="C40" s="6" t="s">
        <v>365</v>
      </c>
      <c r="D40" s="70">
        <v>17500000</v>
      </c>
      <c r="E40" s="70"/>
      <c r="F40" s="70">
        <v>0</v>
      </c>
      <c r="G40" s="70"/>
      <c r="H40" s="70">
        <v>31320000</v>
      </c>
      <c r="I40" s="70"/>
      <c r="J40" s="70">
        <f t="shared" si="5"/>
        <v>48820000</v>
      </c>
      <c r="K40" s="70">
        <f t="shared" si="5"/>
        <v>0</v>
      </c>
    </row>
    <row r="41" spans="1:11" x14ac:dyDescent="0.25">
      <c r="A41" s="13" t="s">
        <v>65</v>
      </c>
      <c r="B41" s="110" t="s">
        <v>295</v>
      </c>
      <c r="C41" s="6" t="s">
        <v>366</v>
      </c>
      <c r="D41" s="70">
        <v>2700000</v>
      </c>
      <c r="E41" s="70"/>
      <c r="F41" s="70">
        <v>300000</v>
      </c>
      <c r="G41" s="70"/>
      <c r="H41" s="70">
        <v>0</v>
      </c>
      <c r="I41" s="70"/>
      <c r="J41" s="70">
        <f t="shared" si="5"/>
        <v>3000000</v>
      </c>
      <c r="K41" s="70">
        <f t="shared" si="5"/>
        <v>0</v>
      </c>
    </row>
    <row r="42" spans="1:11" x14ac:dyDescent="0.25">
      <c r="A42" s="13" t="s">
        <v>66</v>
      </c>
      <c r="B42" s="110" t="s">
        <v>296</v>
      </c>
      <c r="C42" s="6" t="s">
        <v>367</v>
      </c>
      <c r="D42" s="70">
        <v>10000000</v>
      </c>
      <c r="E42" s="70"/>
      <c r="F42" s="70">
        <v>200000</v>
      </c>
      <c r="G42" s="70"/>
      <c r="H42" s="79">
        <v>1500000</v>
      </c>
      <c r="I42" s="70"/>
      <c r="J42" s="70">
        <f t="shared" si="5"/>
        <v>11700000</v>
      </c>
      <c r="K42" s="70">
        <f t="shared" si="5"/>
        <v>0</v>
      </c>
    </row>
    <row r="43" spans="1:11" x14ac:dyDescent="0.25">
      <c r="A43" s="13" t="s">
        <v>240</v>
      </c>
      <c r="B43" s="110" t="s">
        <v>297</v>
      </c>
      <c r="C43" s="6" t="s">
        <v>368</v>
      </c>
      <c r="D43" s="70">
        <v>4000000</v>
      </c>
      <c r="E43" s="70"/>
      <c r="F43" s="70">
        <v>0</v>
      </c>
      <c r="G43" s="70"/>
      <c r="H43" s="70">
        <v>0</v>
      </c>
      <c r="I43" s="70"/>
      <c r="J43" s="70">
        <f t="shared" si="5"/>
        <v>4000000</v>
      </c>
      <c r="K43" s="70">
        <f t="shared" si="5"/>
        <v>0</v>
      </c>
    </row>
    <row r="44" spans="1:11" x14ac:dyDescent="0.25">
      <c r="A44" s="13" t="s">
        <v>67</v>
      </c>
      <c r="B44" s="110" t="s">
        <v>298</v>
      </c>
      <c r="C44" s="6" t="s">
        <v>369</v>
      </c>
      <c r="D44" s="70">
        <v>8000000</v>
      </c>
      <c r="E44" s="70"/>
      <c r="F44" s="70">
        <v>1100000</v>
      </c>
      <c r="G44" s="70"/>
      <c r="H44" s="70">
        <v>150000</v>
      </c>
      <c r="I44" s="70"/>
      <c r="J44" s="70">
        <f t="shared" si="5"/>
        <v>9250000</v>
      </c>
      <c r="K44" s="70">
        <f t="shared" si="5"/>
        <v>0</v>
      </c>
    </row>
    <row r="45" spans="1:11" x14ac:dyDescent="0.25">
      <c r="A45" s="13" t="s">
        <v>68</v>
      </c>
      <c r="B45" s="110" t="s">
        <v>299</v>
      </c>
      <c r="C45" s="6" t="s">
        <v>370</v>
      </c>
      <c r="D45" s="70">
        <v>25000000</v>
      </c>
      <c r="E45" s="70"/>
      <c r="F45" s="70">
        <v>2200000</v>
      </c>
      <c r="G45" s="70"/>
      <c r="H45" s="79">
        <v>3500000</v>
      </c>
      <c r="I45" s="70"/>
      <c r="J45" s="70">
        <f t="shared" si="5"/>
        <v>30700000</v>
      </c>
      <c r="K45" s="70">
        <f t="shared" si="5"/>
        <v>0</v>
      </c>
    </row>
    <row r="46" spans="1:11" x14ac:dyDescent="0.25">
      <c r="A46" s="13" t="s">
        <v>241</v>
      </c>
      <c r="B46" s="112" t="s">
        <v>419</v>
      </c>
      <c r="C46" s="37" t="s">
        <v>371</v>
      </c>
      <c r="D46" s="75">
        <f>SUM(D37:D45)</f>
        <v>104800000</v>
      </c>
      <c r="E46" s="75">
        <f t="shared" ref="E46:K46" si="8">SUM(E37:E45)</f>
        <v>0</v>
      </c>
      <c r="F46" s="75">
        <f t="shared" si="8"/>
        <v>5900000</v>
      </c>
      <c r="G46" s="75">
        <f t="shared" si="8"/>
        <v>0</v>
      </c>
      <c r="H46" s="75">
        <f t="shared" si="8"/>
        <v>42270000</v>
      </c>
      <c r="I46" s="75">
        <f t="shared" si="8"/>
        <v>0</v>
      </c>
      <c r="J46" s="75">
        <f t="shared" si="8"/>
        <v>152970000</v>
      </c>
      <c r="K46" s="75">
        <f t="shared" si="8"/>
        <v>0</v>
      </c>
    </row>
    <row r="47" spans="1:11" x14ac:dyDescent="0.25">
      <c r="A47" s="13" t="s">
        <v>69</v>
      </c>
      <c r="B47" s="110" t="s">
        <v>300</v>
      </c>
      <c r="C47" s="6" t="s">
        <v>372</v>
      </c>
      <c r="D47" s="70">
        <v>80000</v>
      </c>
      <c r="E47" s="70"/>
      <c r="F47" s="70">
        <v>50000</v>
      </c>
      <c r="G47" s="70"/>
      <c r="H47" s="70">
        <v>10000</v>
      </c>
      <c r="I47" s="70"/>
      <c r="J47" s="70">
        <f t="shared" si="5"/>
        <v>140000</v>
      </c>
      <c r="K47" s="70">
        <f t="shared" si="5"/>
        <v>0</v>
      </c>
    </row>
    <row r="48" spans="1:11" x14ac:dyDescent="0.25">
      <c r="A48" s="13" t="s">
        <v>70</v>
      </c>
      <c r="B48" s="110" t="s">
        <v>301</v>
      </c>
      <c r="C48" s="6" t="s">
        <v>373</v>
      </c>
      <c r="D48" s="70">
        <v>1350000</v>
      </c>
      <c r="E48" s="70"/>
      <c r="F48" s="70">
        <v>0</v>
      </c>
      <c r="G48" s="70"/>
      <c r="H48" s="70">
        <v>0</v>
      </c>
      <c r="I48" s="70"/>
      <c r="J48" s="70">
        <f t="shared" ref="J48:K54" si="9">+D48+F48+H48</f>
        <v>1350000</v>
      </c>
      <c r="K48" s="70">
        <f t="shared" si="9"/>
        <v>0</v>
      </c>
    </row>
    <row r="49" spans="1:11" ht="30" x14ac:dyDescent="0.25">
      <c r="A49" s="13" t="s">
        <v>71</v>
      </c>
      <c r="B49" s="112" t="s">
        <v>420</v>
      </c>
      <c r="C49" s="37" t="s">
        <v>374</v>
      </c>
      <c r="D49" s="75">
        <f>SUM(D47:D48)</f>
        <v>1430000</v>
      </c>
      <c r="E49" s="75">
        <f t="shared" ref="E49:K49" si="10">SUM(E47:E48)</f>
        <v>0</v>
      </c>
      <c r="F49" s="75">
        <f t="shared" si="10"/>
        <v>50000</v>
      </c>
      <c r="G49" s="75">
        <f t="shared" si="10"/>
        <v>0</v>
      </c>
      <c r="H49" s="75">
        <f t="shared" si="10"/>
        <v>10000</v>
      </c>
      <c r="I49" s="75">
        <f t="shared" si="10"/>
        <v>0</v>
      </c>
      <c r="J49" s="75">
        <f t="shared" si="10"/>
        <v>1490000</v>
      </c>
      <c r="K49" s="75">
        <f t="shared" si="10"/>
        <v>0</v>
      </c>
    </row>
    <row r="50" spans="1:11" ht="30" x14ac:dyDescent="0.25">
      <c r="A50" s="13" t="s">
        <v>72</v>
      </c>
      <c r="B50" s="110" t="s">
        <v>302</v>
      </c>
      <c r="C50" s="6" t="s">
        <v>375</v>
      </c>
      <c r="D50" s="70">
        <v>28000000</v>
      </c>
      <c r="E50" s="70"/>
      <c r="F50" s="70">
        <v>2200000</v>
      </c>
      <c r="G50" s="70"/>
      <c r="H50" s="70">
        <v>11500000</v>
      </c>
      <c r="I50" s="70"/>
      <c r="J50" s="70">
        <f t="shared" si="9"/>
        <v>41700000</v>
      </c>
      <c r="K50" s="70">
        <f t="shared" si="9"/>
        <v>0</v>
      </c>
    </row>
    <row r="51" spans="1:11" x14ac:dyDescent="0.25">
      <c r="A51" s="13" t="s">
        <v>73</v>
      </c>
      <c r="B51" s="110" t="s">
        <v>303</v>
      </c>
      <c r="C51" s="6" t="s">
        <v>376</v>
      </c>
      <c r="D51" s="70">
        <v>114593000</v>
      </c>
      <c r="E51" s="70"/>
      <c r="F51" s="70"/>
      <c r="G51" s="70"/>
      <c r="H51" s="70">
        <v>0</v>
      </c>
      <c r="I51" s="70"/>
      <c r="J51" s="70">
        <f t="shared" si="9"/>
        <v>114593000</v>
      </c>
      <c r="K51" s="70">
        <f t="shared" si="9"/>
        <v>0</v>
      </c>
    </row>
    <row r="52" spans="1:11" x14ac:dyDescent="0.25">
      <c r="A52" s="13" t="s">
        <v>74</v>
      </c>
      <c r="B52" s="110" t="s">
        <v>304</v>
      </c>
      <c r="C52" s="6" t="s">
        <v>377</v>
      </c>
      <c r="D52" s="70">
        <v>44804</v>
      </c>
      <c r="E52" s="70"/>
      <c r="F52" s="70"/>
      <c r="G52" s="70"/>
      <c r="H52" s="70">
        <v>0</v>
      </c>
      <c r="I52" s="70"/>
      <c r="J52" s="70">
        <f t="shared" si="9"/>
        <v>44804</v>
      </c>
      <c r="K52" s="70">
        <f t="shared" si="9"/>
        <v>0</v>
      </c>
    </row>
    <row r="53" spans="1:11" x14ac:dyDescent="0.25">
      <c r="A53" s="13" t="s">
        <v>75</v>
      </c>
      <c r="B53" s="110" t="s">
        <v>305</v>
      </c>
      <c r="C53" s="6" t="s">
        <v>378</v>
      </c>
      <c r="D53" s="70"/>
      <c r="E53" s="70"/>
      <c r="F53" s="70"/>
      <c r="G53" s="70"/>
      <c r="H53" s="70">
        <v>0</v>
      </c>
      <c r="I53" s="70"/>
      <c r="J53" s="70">
        <f t="shared" si="9"/>
        <v>0</v>
      </c>
      <c r="K53" s="70">
        <f t="shared" si="9"/>
        <v>0</v>
      </c>
    </row>
    <row r="54" spans="1:11" x14ac:dyDescent="0.25">
      <c r="A54" s="13" t="s">
        <v>76</v>
      </c>
      <c r="B54" s="110" t="s">
        <v>306</v>
      </c>
      <c r="C54" s="6" t="s">
        <v>379</v>
      </c>
      <c r="D54" s="70">
        <v>2320000</v>
      </c>
      <c r="E54" s="70"/>
      <c r="F54" s="70">
        <v>5000</v>
      </c>
      <c r="G54" s="70"/>
      <c r="H54" s="70">
        <v>5000</v>
      </c>
      <c r="I54" s="70"/>
      <c r="J54" s="70">
        <f t="shared" si="9"/>
        <v>2330000</v>
      </c>
      <c r="K54" s="70">
        <f t="shared" si="9"/>
        <v>0</v>
      </c>
    </row>
    <row r="55" spans="1:11" ht="30" x14ac:dyDescent="0.25">
      <c r="A55" s="13" t="s">
        <v>77</v>
      </c>
      <c r="B55" s="35" t="s">
        <v>421</v>
      </c>
      <c r="C55" s="37" t="s">
        <v>380</v>
      </c>
      <c r="D55" s="75">
        <f>SUM(D50:D54)</f>
        <v>144957804</v>
      </c>
      <c r="E55" s="75">
        <f t="shared" ref="E55:K55" si="11">SUM(E50:E54)</f>
        <v>0</v>
      </c>
      <c r="F55" s="75">
        <f t="shared" si="11"/>
        <v>2205000</v>
      </c>
      <c r="G55" s="75">
        <f t="shared" si="11"/>
        <v>0</v>
      </c>
      <c r="H55" s="75">
        <f t="shared" si="11"/>
        <v>11505000</v>
      </c>
      <c r="I55" s="75">
        <f t="shared" si="11"/>
        <v>0</v>
      </c>
      <c r="J55" s="75">
        <f t="shared" si="11"/>
        <v>158667804</v>
      </c>
      <c r="K55" s="75">
        <f t="shared" si="11"/>
        <v>0</v>
      </c>
    </row>
    <row r="56" spans="1:11" x14ac:dyDescent="0.25">
      <c r="A56" s="13" t="s">
        <v>78</v>
      </c>
      <c r="B56" s="111" t="s">
        <v>422</v>
      </c>
      <c r="C56" s="31" t="s">
        <v>357</v>
      </c>
      <c r="D56" s="71">
        <f>+D33+D36+D46+D49+D55</f>
        <v>267687804</v>
      </c>
      <c r="E56" s="71">
        <f t="shared" ref="E56:K56" si="12">+E33+E36+E46+E49+E55</f>
        <v>0</v>
      </c>
      <c r="F56" s="71">
        <f t="shared" si="12"/>
        <v>10355000</v>
      </c>
      <c r="G56" s="71">
        <f t="shared" si="12"/>
        <v>0</v>
      </c>
      <c r="H56" s="71">
        <f t="shared" si="12"/>
        <v>57385000</v>
      </c>
      <c r="I56" s="71">
        <f t="shared" si="12"/>
        <v>0</v>
      </c>
      <c r="J56" s="71">
        <f t="shared" si="12"/>
        <v>335427804</v>
      </c>
      <c r="K56" s="71">
        <f t="shared" si="12"/>
        <v>0</v>
      </c>
    </row>
    <row r="57" spans="1:11" x14ac:dyDescent="0.25">
      <c r="A57" s="13" t="s">
        <v>79</v>
      </c>
      <c r="B57" s="110" t="s">
        <v>307</v>
      </c>
      <c r="C57" s="6" t="s">
        <v>381</v>
      </c>
      <c r="D57" s="70"/>
      <c r="E57" s="70"/>
      <c r="F57" s="70">
        <v>0</v>
      </c>
      <c r="G57" s="70"/>
      <c r="H57" s="70">
        <v>0</v>
      </c>
      <c r="I57" s="70"/>
      <c r="J57" s="70">
        <f t="shared" ref="J57:K72" si="13">+D57+F57+H57</f>
        <v>0</v>
      </c>
      <c r="K57" s="70">
        <f t="shared" si="13"/>
        <v>0</v>
      </c>
    </row>
    <row r="58" spans="1:11" x14ac:dyDescent="0.25">
      <c r="A58" s="13" t="s">
        <v>80</v>
      </c>
      <c r="B58" s="110" t="s">
        <v>308</v>
      </c>
      <c r="C58" s="6" t="s">
        <v>382</v>
      </c>
      <c r="D58" s="70">
        <v>4200000</v>
      </c>
      <c r="E58" s="70"/>
      <c r="F58" s="70">
        <v>0</v>
      </c>
      <c r="G58" s="70"/>
      <c r="H58" s="70">
        <v>0</v>
      </c>
      <c r="I58" s="70"/>
      <c r="J58" s="70">
        <f t="shared" si="13"/>
        <v>4200000</v>
      </c>
      <c r="K58" s="70">
        <f t="shared" si="13"/>
        <v>0</v>
      </c>
    </row>
    <row r="59" spans="1:11" x14ac:dyDescent="0.25">
      <c r="A59" s="13" t="s">
        <v>81</v>
      </c>
      <c r="B59" s="111" t="s">
        <v>423</v>
      </c>
      <c r="C59" s="31" t="s">
        <v>383</v>
      </c>
      <c r="D59" s="71">
        <f>SUM(D57:D58)</f>
        <v>4200000</v>
      </c>
      <c r="E59" s="71">
        <f t="shared" ref="E59:K59" si="14">SUM(E57:E58)</f>
        <v>0</v>
      </c>
      <c r="F59" s="71">
        <f t="shared" si="14"/>
        <v>0</v>
      </c>
      <c r="G59" s="71">
        <f t="shared" si="14"/>
        <v>0</v>
      </c>
      <c r="H59" s="71">
        <f t="shared" si="14"/>
        <v>0</v>
      </c>
      <c r="I59" s="71">
        <f t="shared" si="14"/>
        <v>0</v>
      </c>
      <c r="J59" s="71">
        <f t="shared" si="14"/>
        <v>4200000</v>
      </c>
      <c r="K59" s="71">
        <f t="shared" si="14"/>
        <v>0</v>
      </c>
    </row>
    <row r="60" spans="1:11" ht="30" x14ac:dyDescent="0.25">
      <c r="A60" s="13" t="s">
        <v>82</v>
      </c>
      <c r="B60" s="110" t="s">
        <v>309</v>
      </c>
      <c r="C60" s="6" t="s">
        <v>384</v>
      </c>
      <c r="D60" s="70"/>
      <c r="E60" s="70"/>
      <c r="F60" s="70"/>
      <c r="G60" s="70"/>
      <c r="H60" s="70"/>
      <c r="I60" s="70"/>
      <c r="J60" s="70">
        <f t="shared" si="13"/>
        <v>0</v>
      </c>
      <c r="K60" s="70">
        <f t="shared" si="13"/>
        <v>0</v>
      </c>
    </row>
    <row r="61" spans="1:11" ht="30" x14ac:dyDescent="0.25">
      <c r="A61" s="13" t="s">
        <v>83</v>
      </c>
      <c r="B61" s="110" t="s">
        <v>310</v>
      </c>
      <c r="C61" s="6" t="s">
        <v>385</v>
      </c>
      <c r="D61" s="70"/>
      <c r="E61" s="70"/>
      <c r="F61" s="70"/>
      <c r="G61" s="70"/>
      <c r="H61" s="70"/>
      <c r="I61" s="70"/>
      <c r="J61" s="70">
        <f t="shared" si="13"/>
        <v>0</v>
      </c>
      <c r="K61" s="70">
        <f t="shared" si="13"/>
        <v>0</v>
      </c>
    </row>
    <row r="62" spans="1:11" x14ac:dyDescent="0.25">
      <c r="A62" s="13" t="s">
        <v>84</v>
      </c>
      <c r="B62" s="110" t="s">
        <v>311</v>
      </c>
      <c r="C62" s="6" t="s">
        <v>386</v>
      </c>
      <c r="D62" s="70"/>
      <c r="E62" s="70"/>
      <c r="F62" s="70"/>
      <c r="G62" s="70"/>
      <c r="H62" s="70"/>
      <c r="I62" s="70"/>
      <c r="J62" s="70">
        <f t="shared" si="13"/>
        <v>0</v>
      </c>
      <c r="K62" s="70">
        <f t="shared" si="13"/>
        <v>0</v>
      </c>
    </row>
    <row r="63" spans="1:11" x14ac:dyDescent="0.25">
      <c r="A63" s="13" t="s">
        <v>85</v>
      </c>
      <c r="B63" s="112" t="s">
        <v>424</v>
      </c>
      <c r="C63" s="37" t="s">
        <v>392</v>
      </c>
      <c r="D63" s="75">
        <f>SUM(D60:D62)</f>
        <v>0</v>
      </c>
      <c r="E63" s="75">
        <f t="shared" ref="E63:K63" si="15">SUM(E60:E62)</f>
        <v>0</v>
      </c>
      <c r="F63" s="75">
        <f t="shared" si="15"/>
        <v>0</v>
      </c>
      <c r="G63" s="75">
        <f t="shared" si="15"/>
        <v>0</v>
      </c>
      <c r="H63" s="75">
        <f t="shared" si="15"/>
        <v>0</v>
      </c>
      <c r="I63" s="75">
        <f t="shared" si="15"/>
        <v>0</v>
      </c>
      <c r="J63" s="75">
        <f t="shared" si="15"/>
        <v>0</v>
      </c>
      <c r="K63" s="75">
        <f t="shared" si="15"/>
        <v>0</v>
      </c>
    </row>
    <row r="64" spans="1:11" ht="30" x14ac:dyDescent="0.25">
      <c r="A64" s="13" t="s">
        <v>86</v>
      </c>
      <c r="B64" s="110" t="s">
        <v>312</v>
      </c>
      <c r="C64" s="6" t="s">
        <v>393</v>
      </c>
      <c r="D64" s="70">
        <v>0</v>
      </c>
      <c r="E64" s="70"/>
      <c r="F64" s="70"/>
      <c r="G64" s="70"/>
      <c r="H64" s="70">
        <v>0</v>
      </c>
      <c r="I64" s="70"/>
      <c r="J64" s="70">
        <f t="shared" si="13"/>
        <v>0</v>
      </c>
      <c r="K64" s="70">
        <f t="shared" si="13"/>
        <v>0</v>
      </c>
    </row>
    <row r="65" spans="1:11" ht="30" x14ac:dyDescent="0.25">
      <c r="A65" s="13" t="s">
        <v>87</v>
      </c>
      <c r="B65" s="110" t="s">
        <v>429</v>
      </c>
      <c r="C65" s="6" t="s">
        <v>394</v>
      </c>
      <c r="D65" s="70">
        <v>0</v>
      </c>
      <c r="E65" s="70"/>
      <c r="F65" s="70"/>
      <c r="G65" s="70"/>
      <c r="H65" s="70">
        <v>0</v>
      </c>
      <c r="I65" s="70"/>
      <c r="J65" s="70">
        <f t="shared" si="13"/>
        <v>0</v>
      </c>
      <c r="K65" s="70">
        <f t="shared" si="13"/>
        <v>0</v>
      </c>
    </row>
    <row r="66" spans="1:11" ht="30" x14ac:dyDescent="0.25">
      <c r="A66" s="13" t="s">
        <v>88</v>
      </c>
      <c r="B66" s="110" t="s">
        <v>313</v>
      </c>
      <c r="C66" s="6" t="s">
        <v>395</v>
      </c>
      <c r="D66" s="70">
        <v>0</v>
      </c>
      <c r="E66" s="70"/>
      <c r="F66" s="70"/>
      <c r="G66" s="70"/>
      <c r="H66" s="70">
        <v>0</v>
      </c>
      <c r="I66" s="70"/>
      <c r="J66" s="70">
        <f t="shared" si="13"/>
        <v>0</v>
      </c>
      <c r="K66" s="70">
        <f t="shared" si="13"/>
        <v>0</v>
      </c>
    </row>
    <row r="67" spans="1:11" ht="30" x14ac:dyDescent="0.25">
      <c r="A67" s="13" t="s">
        <v>89</v>
      </c>
      <c r="B67" s="110" t="s">
        <v>314</v>
      </c>
      <c r="C67" s="6" t="s">
        <v>396</v>
      </c>
      <c r="D67" s="70">
        <v>12715106</v>
      </c>
      <c r="E67" s="70"/>
      <c r="F67" s="70"/>
      <c r="G67" s="70"/>
      <c r="H67" s="70">
        <v>0</v>
      </c>
      <c r="I67" s="70"/>
      <c r="J67" s="70">
        <f t="shared" si="13"/>
        <v>12715106</v>
      </c>
      <c r="K67" s="70">
        <f t="shared" si="13"/>
        <v>0</v>
      </c>
    </row>
    <row r="68" spans="1:11" ht="30" x14ac:dyDescent="0.25">
      <c r="A68" s="13" t="s">
        <v>90</v>
      </c>
      <c r="B68" s="110" t="s">
        <v>315</v>
      </c>
      <c r="C68" s="6" t="s">
        <v>397</v>
      </c>
      <c r="D68" s="70">
        <v>0</v>
      </c>
      <c r="E68" s="70"/>
      <c r="F68" s="70"/>
      <c r="G68" s="70"/>
      <c r="H68" s="70">
        <v>0</v>
      </c>
      <c r="I68" s="70"/>
      <c r="J68" s="70">
        <f t="shared" si="13"/>
        <v>0</v>
      </c>
      <c r="K68" s="70">
        <f t="shared" si="13"/>
        <v>0</v>
      </c>
    </row>
    <row r="69" spans="1:11" ht="30" x14ac:dyDescent="0.25">
      <c r="A69" s="13" t="s">
        <v>242</v>
      </c>
      <c r="B69" s="110" t="s">
        <v>316</v>
      </c>
      <c r="C69" s="6" t="s">
        <v>398</v>
      </c>
      <c r="D69" s="70">
        <v>0</v>
      </c>
      <c r="E69" s="70"/>
      <c r="F69" s="70"/>
      <c r="G69" s="70"/>
      <c r="H69" s="70">
        <v>0</v>
      </c>
      <c r="I69" s="70"/>
      <c r="J69" s="70">
        <f t="shared" si="13"/>
        <v>0</v>
      </c>
      <c r="K69" s="70">
        <f t="shared" si="13"/>
        <v>0</v>
      </c>
    </row>
    <row r="70" spans="1:11" x14ac:dyDescent="0.25">
      <c r="A70" s="13" t="s">
        <v>243</v>
      </c>
      <c r="B70" s="110" t="s">
        <v>317</v>
      </c>
      <c r="C70" s="6" t="s">
        <v>399</v>
      </c>
      <c r="D70" s="70">
        <v>0</v>
      </c>
      <c r="E70" s="70"/>
      <c r="F70" s="70"/>
      <c r="G70" s="70"/>
      <c r="H70" s="70">
        <v>0</v>
      </c>
      <c r="I70" s="70"/>
      <c r="J70" s="70">
        <f t="shared" si="13"/>
        <v>0</v>
      </c>
      <c r="K70" s="70">
        <f t="shared" si="13"/>
        <v>0</v>
      </c>
    </row>
    <row r="71" spans="1:11" x14ac:dyDescent="0.25">
      <c r="A71" s="13" t="s">
        <v>244</v>
      </c>
      <c r="B71" s="110" t="s">
        <v>318</v>
      </c>
      <c r="C71" s="6" t="s">
        <v>400</v>
      </c>
      <c r="D71" s="70">
        <v>0</v>
      </c>
      <c r="E71" s="70"/>
      <c r="F71" s="70"/>
      <c r="G71" s="70"/>
      <c r="H71" s="70">
        <v>0</v>
      </c>
      <c r="I71" s="70"/>
      <c r="J71" s="70">
        <f t="shared" si="13"/>
        <v>0</v>
      </c>
      <c r="K71" s="70">
        <f t="shared" si="13"/>
        <v>0</v>
      </c>
    </row>
    <row r="72" spans="1:11" ht="30" x14ac:dyDescent="0.25">
      <c r="A72" s="13" t="s">
        <v>245</v>
      </c>
      <c r="B72" s="110" t="s">
        <v>319</v>
      </c>
      <c r="C72" s="6" t="s">
        <v>401</v>
      </c>
      <c r="D72" s="70">
        <v>3610000</v>
      </c>
      <c r="E72" s="70"/>
      <c r="F72" s="70"/>
      <c r="G72" s="70"/>
      <c r="H72" s="70">
        <v>0</v>
      </c>
      <c r="I72" s="70"/>
      <c r="J72" s="70">
        <f t="shared" si="13"/>
        <v>3610000</v>
      </c>
      <c r="K72" s="70">
        <f t="shared" si="13"/>
        <v>0</v>
      </c>
    </row>
    <row r="73" spans="1:11" x14ac:dyDescent="0.25">
      <c r="A73" s="13" t="s">
        <v>246</v>
      </c>
      <c r="B73" s="110" t="s">
        <v>320</v>
      </c>
      <c r="C73" s="6" t="s">
        <v>402</v>
      </c>
      <c r="D73" s="70">
        <v>10000000</v>
      </c>
      <c r="E73" s="70"/>
      <c r="F73" s="70"/>
      <c r="G73" s="70"/>
      <c r="H73" s="70">
        <v>0</v>
      </c>
      <c r="I73" s="70"/>
      <c r="J73" s="70">
        <f t="shared" ref="J73:K88" si="16">+D73+F73+H73</f>
        <v>10000000</v>
      </c>
      <c r="K73" s="70">
        <f t="shared" si="16"/>
        <v>0</v>
      </c>
    </row>
    <row r="74" spans="1:11" x14ac:dyDescent="0.25">
      <c r="A74" s="13" t="s">
        <v>247</v>
      </c>
      <c r="B74" s="111" t="s">
        <v>403</v>
      </c>
      <c r="C74" s="31" t="s">
        <v>387</v>
      </c>
      <c r="D74" s="71">
        <f>+D63+D64+D65+D66+D67+D68+D69+D70+D71+D72+D73</f>
        <v>26325106</v>
      </c>
      <c r="E74" s="71">
        <f t="shared" ref="E74:K74" si="17">+E63+E64+E65+E66+E67+E68+E69+E70+E71+E72+E73</f>
        <v>0</v>
      </c>
      <c r="F74" s="71">
        <f t="shared" si="17"/>
        <v>0</v>
      </c>
      <c r="G74" s="71">
        <f t="shared" si="17"/>
        <v>0</v>
      </c>
      <c r="H74" s="71">
        <f t="shared" si="17"/>
        <v>0</v>
      </c>
      <c r="I74" s="71">
        <f t="shared" si="17"/>
        <v>0</v>
      </c>
      <c r="J74" s="71">
        <f t="shared" si="17"/>
        <v>26325106</v>
      </c>
      <c r="K74" s="71">
        <f t="shared" si="17"/>
        <v>0</v>
      </c>
    </row>
    <row r="75" spans="1:11" x14ac:dyDescent="0.25">
      <c r="A75" s="13" t="s">
        <v>248</v>
      </c>
      <c r="B75" s="110" t="s">
        <v>321</v>
      </c>
      <c r="C75" s="6" t="s">
        <v>388</v>
      </c>
      <c r="D75" s="70">
        <v>0</v>
      </c>
      <c r="E75" s="70"/>
      <c r="F75" s="70">
        <v>0</v>
      </c>
      <c r="G75" s="70"/>
      <c r="H75" s="70">
        <v>0</v>
      </c>
      <c r="I75" s="70"/>
      <c r="J75" s="70">
        <f t="shared" si="16"/>
        <v>0</v>
      </c>
      <c r="K75" s="70">
        <f t="shared" si="16"/>
        <v>0</v>
      </c>
    </row>
    <row r="76" spans="1:11" x14ac:dyDescent="0.25">
      <c r="A76" s="13" t="s">
        <v>249</v>
      </c>
      <c r="B76" s="110" t="s">
        <v>322</v>
      </c>
      <c r="C76" s="6" t="s">
        <v>389</v>
      </c>
      <c r="D76" s="70">
        <v>475486057</v>
      </c>
      <c r="E76" s="70"/>
      <c r="F76" s="70">
        <v>0</v>
      </c>
      <c r="G76" s="70"/>
      <c r="H76" s="70">
        <v>0</v>
      </c>
      <c r="I76" s="70"/>
      <c r="J76" s="70">
        <f t="shared" si="16"/>
        <v>475486057</v>
      </c>
      <c r="K76" s="70">
        <f t="shared" si="16"/>
        <v>0</v>
      </c>
    </row>
    <row r="77" spans="1:11" x14ac:dyDescent="0.25">
      <c r="A77" s="13" t="s">
        <v>250</v>
      </c>
      <c r="B77" s="110" t="s">
        <v>323</v>
      </c>
      <c r="C77" s="6" t="s">
        <v>390</v>
      </c>
      <c r="D77" s="70"/>
      <c r="E77" s="70"/>
      <c r="F77" s="70">
        <v>200000</v>
      </c>
      <c r="G77" s="70"/>
      <c r="H77" s="70">
        <v>393700</v>
      </c>
      <c r="I77" s="70"/>
      <c r="J77" s="70">
        <f t="shared" si="16"/>
        <v>593700</v>
      </c>
      <c r="K77" s="70">
        <f t="shared" si="16"/>
        <v>0</v>
      </c>
    </row>
    <row r="78" spans="1:11" x14ac:dyDescent="0.25">
      <c r="A78" s="13" t="s">
        <v>251</v>
      </c>
      <c r="B78" s="110" t="s">
        <v>324</v>
      </c>
      <c r="C78" s="6" t="s">
        <v>391</v>
      </c>
      <c r="D78" s="70">
        <v>19338583</v>
      </c>
      <c r="E78" s="70"/>
      <c r="F78" s="70">
        <v>0</v>
      </c>
      <c r="G78" s="70"/>
      <c r="H78" s="70">
        <v>1181101</v>
      </c>
      <c r="I78" s="70"/>
      <c r="J78" s="70">
        <f t="shared" si="16"/>
        <v>20519684</v>
      </c>
      <c r="K78" s="70">
        <f t="shared" si="16"/>
        <v>0</v>
      </c>
    </row>
    <row r="79" spans="1:11" ht="30" x14ac:dyDescent="0.25">
      <c r="A79" s="13" t="s">
        <v>252</v>
      </c>
      <c r="B79" s="110" t="s">
        <v>325</v>
      </c>
      <c r="C79" s="6" t="s">
        <v>404</v>
      </c>
      <c r="D79" s="70">
        <f>13713959+3</f>
        <v>13713962</v>
      </c>
      <c r="E79" s="70"/>
      <c r="F79" s="70">
        <f>1200000*0.27</f>
        <v>324000</v>
      </c>
      <c r="G79" s="70"/>
      <c r="H79" s="70">
        <f>+(+H77+H78)*0.27</f>
        <v>425196.27</v>
      </c>
      <c r="I79" s="70"/>
      <c r="J79" s="70">
        <f t="shared" si="16"/>
        <v>14463158.27</v>
      </c>
      <c r="K79" s="70">
        <f t="shared" si="16"/>
        <v>0</v>
      </c>
    </row>
    <row r="80" spans="1:11" x14ac:dyDescent="0.25">
      <c r="A80" s="13" t="s">
        <v>253</v>
      </c>
      <c r="B80" s="52" t="s">
        <v>425</v>
      </c>
      <c r="C80" s="31" t="s">
        <v>405</v>
      </c>
      <c r="D80" s="71">
        <f>SUM(D75:D79)</f>
        <v>508538602</v>
      </c>
      <c r="E80" s="71">
        <f t="shared" ref="E80:K80" si="18">SUM(E75:E79)</f>
        <v>0</v>
      </c>
      <c r="F80" s="71">
        <f t="shared" si="18"/>
        <v>524000</v>
      </c>
      <c r="G80" s="71">
        <f t="shared" si="18"/>
        <v>0</v>
      </c>
      <c r="H80" s="71">
        <f t="shared" si="18"/>
        <v>1999997.27</v>
      </c>
      <c r="I80" s="71">
        <f t="shared" si="18"/>
        <v>0</v>
      </c>
      <c r="J80" s="71">
        <f t="shared" si="18"/>
        <v>511062599.26999998</v>
      </c>
      <c r="K80" s="71">
        <f t="shared" si="18"/>
        <v>0</v>
      </c>
    </row>
    <row r="81" spans="1:11" x14ac:dyDescent="0.25">
      <c r="A81" s="13" t="s">
        <v>254</v>
      </c>
      <c r="B81" s="110" t="s">
        <v>326</v>
      </c>
      <c r="C81" s="6" t="s">
        <v>406</v>
      </c>
      <c r="D81" s="70">
        <v>143307000</v>
      </c>
      <c r="E81" s="70"/>
      <c r="F81" s="70"/>
      <c r="G81" s="70"/>
      <c r="H81" s="70"/>
      <c r="I81" s="70"/>
      <c r="J81" s="70">
        <f t="shared" si="16"/>
        <v>143307000</v>
      </c>
      <c r="K81" s="70">
        <f t="shared" si="16"/>
        <v>0</v>
      </c>
    </row>
    <row r="82" spans="1:11" x14ac:dyDescent="0.25">
      <c r="A82" s="13" t="s">
        <v>255</v>
      </c>
      <c r="B82" s="110" t="s">
        <v>327</v>
      </c>
      <c r="C82" s="6" t="s">
        <v>407</v>
      </c>
      <c r="D82" s="70"/>
      <c r="E82" s="70"/>
      <c r="F82" s="70"/>
      <c r="G82" s="70"/>
      <c r="H82" s="70"/>
      <c r="I82" s="70"/>
      <c r="J82" s="70">
        <f t="shared" si="16"/>
        <v>0</v>
      </c>
      <c r="K82" s="70">
        <f t="shared" si="16"/>
        <v>0</v>
      </c>
    </row>
    <row r="83" spans="1:11" x14ac:dyDescent="0.25">
      <c r="A83" s="13" t="s">
        <v>256</v>
      </c>
      <c r="B83" s="110" t="s">
        <v>328</v>
      </c>
      <c r="C83" s="6" t="s">
        <v>408</v>
      </c>
      <c r="D83" s="70"/>
      <c r="E83" s="70"/>
      <c r="F83" s="70"/>
      <c r="G83" s="70"/>
      <c r="H83" s="70"/>
      <c r="I83" s="70"/>
      <c r="J83" s="70">
        <f t="shared" si="16"/>
        <v>0</v>
      </c>
      <c r="K83" s="70">
        <f t="shared" si="16"/>
        <v>0</v>
      </c>
    </row>
    <row r="84" spans="1:11" ht="30" x14ac:dyDescent="0.25">
      <c r="A84" s="13" t="s">
        <v>257</v>
      </c>
      <c r="B84" s="110" t="s">
        <v>329</v>
      </c>
      <c r="C84" s="6" t="s">
        <v>409</v>
      </c>
      <c r="D84" s="70">
        <v>38693000</v>
      </c>
      <c r="E84" s="70"/>
      <c r="F84" s="70"/>
      <c r="G84" s="70"/>
      <c r="H84" s="70"/>
      <c r="I84" s="70"/>
      <c r="J84" s="70">
        <f t="shared" si="16"/>
        <v>38693000</v>
      </c>
      <c r="K84" s="70">
        <f t="shared" si="16"/>
        <v>0</v>
      </c>
    </row>
    <row r="85" spans="1:11" x14ac:dyDescent="0.25">
      <c r="A85" s="13" t="s">
        <v>258</v>
      </c>
      <c r="B85" s="52" t="s">
        <v>426</v>
      </c>
      <c r="C85" s="31" t="s">
        <v>410</v>
      </c>
      <c r="D85" s="71">
        <f>SUM(D81:D84)</f>
        <v>182000000</v>
      </c>
      <c r="E85" s="71">
        <f t="shared" ref="E85:K85" si="19">SUM(E81:E84)</f>
        <v>0</v>
      </c>
      <c r="F85" s="71">
        <f t="shared" si="19"/>
        <v>0</v>
      </c>
      <c r="G85" s="71">
        <f t="shared" si="19"/>
        <v>0</v>
      </c>
      <c r="H85" s="71">
        <f t="shared" si="19"/>
        <v>0</v>
      </c>
      <c r="I85" s="71">
        <f t="shared" si="19"/>
        <v>0</v>
      </c>
      <c r="J85" s="71">
        <f t="shared" si="19"/>
        <v>182000000</v>
      </c>
      <c r="K85" s="71">
        <f t="shared" si="19"/>
        <v>0</v>
      </c>
    </row>
    <row r="86" spans="1:11" ht="30" x14ac:dyDescent="0.25">
      <c r="A86" s="13" t="s">
        <v>259</v>
      </c>
      <c r="B86" s="8" t="s">
        <v>330</v>
      </c>
      <c r="C86" s="6" t="s">
        <v>411</v>
      </c>
      <c r="D86" s="70"/>
      <c r="E86" s="70"/>
      <c r="F86" s="70"/>
      <c r="G86" s="70"/>
      <c r="H86" s="70"/>
      <c r="I86" s="70"/>
      <c r="J86" s="70">
        <f t="shared" si="16"/>
        <v>0</v>
      </c>
      <c r="K86" s="70">
        <f t="shared" si="16"/>
        <v>0</v>
      </c>
    </row>
    <row r="87" spans="1:11" ht="30" x14ac:dyDescent="0.25">
      <c r="A87" s="13" t="s">
        <v>260</v>
      </c>
      <c r="B87" s="8" t="s">
        <v>331</v>
      </c>
      <c r="C87" s="6" t="s">
        <v>412</v>
      </c>
      <c r="D87" s="70"/>
      <c r="E87" s="70"/>
      <c r="F87" s="70"/>
      <c r="G87" s="70"/>
      <c r="H87" s="70"/>
      <c r="I87" s="70"/>
      <c r="J87" s="70">
        <f t="shared" si="16"/>
        <v>0</v>
      </c>
      <c r="K87" s="70">
        <f t="shared" si="16"/>
        <v>0</v>
      </c>
    </row>
    <row r="88" spans="1:11" ht="30" x14ac:dyDescent="0.25">
      <c r="A88" s="13" t="s">
        <v>261</v>
      </c>
      <c r="B88" s="8" t="s">
        <v>332</v>
      </c>
      <c r="C88" s="6" t="s">
        <v>413</v>
      </c>
      <c r="D88" s="70"/>
      <c r="E88" s="70"/>
      <c r="F88" s="70"/>
      <c r="G88" s="70"/>
      <c r="H88" s="70"/>
      <c r="I88" s="70"/>
      <c r="J88" s="70">
        <f t="shared" si="16"/>
        <v>0</v>
      </c>
      <c r="K88" s="70">
        <f t="shared" si="16"/>
        <v>0</v>
      </c>
    </row>
    <row r="89" spans="1:11" ht="30" x14ac:dyDescent="0.25">
      <c r="A89" s="13" t="s">
        <v>262</v>
      </c>
      <c r="B89" s="110" t="s">
        <v>333</v>
      </c>
      <c r="C89" s="6" t="s">
        <v>414</v>
      </c>
      <c r="D89" s="70"/>
      <c r="E89" s="70"/>
      <c r="F89" s="70"/>
      <c r="G89" s="70"/>
      <c r="H89" s="70"/>
      <c r="I89" s="70"/>
      <c r="J89" s="70">
        <f t="shared" ref="J89:J92" si="20">+D89+F89+H89</f>
        <v>0</v>
      </c>
      <c r="K89" s="70">
        <f t="shared" ref="K89:K92" si="21">+E89+G89+I89</f>
        <v>0</v>
      </c>
    </row>
    <row r="90" spans="1:11" ht="30" x14ac:dyDescent="0.25">
      <c r="A90" s="13" t="s">
        <v>263</v>
      </c>
      <c r="B90" s="8" t="s">
        <v>334</v>
      </c>
      <c r="C90" s="6" t="s">
        <v>415</v>
      </c>
      <c r="D90" s="70"/>
      <c r="E90" s="70"/>
      <c r="F90" s="70"/>
      <c r="G90" s="70"/>
      <c r="H90" s="70"/>
      <c r="I90" s="70"/>
      <c r="J90" s="70">
        <f t="shared" si="20"/>
        <v>0</v>
      </c>
      <c r="K90" s="70">
        <f t="shared" si="21"/>
        <v>0</v>
      </c>
    </row>
    <row r="91" spans="1:11" ht="30" x14ac:dyDescent="0.25">
      <c r="A91" s="13" t="s">
        <v>264</v>
      </c>
      <c r="B91" s="8" t="s">
        <v>335</v>
      </c>
      <c r="C91" s="6" t="s">
        <v>416</v>
      </c>
      <c r="D91" s="70"/>
      <c r="E91" s="70"/>
      <c r="F91" s="70"/>
      <c r="G91" s="70"/>
      <c r="H91" s="70"/>
      <c r="I91" s="70"/>
      <c r="J91" s="70">
        <f t="shared" si="20"/>
        <v>0</v>
      </c>
      <c r="K91" s="70">
        <f t="shared" si="21"/>
        <v>0</v>
      </c>
    </row>
    <row r="92" spans="1:11" ht="30" x14ac:dyDescent="0.25">
      <c r="A92" s="13" t="s">
        <v>265</v>
      </c>
      <c r="B92" s="8" t="s">
        <v>336</v>
      </c>
      <c r="C92" s="6" t="s">
        <v>417</v>
      </c>
      <c r="D92" s="70"/>
      <c r="E92" s="70"/>
      <c r="F92" s="70"/>
      <c r="G92" s="70"/>
      <c r="H92" s="70"/>
      <c r="I92" s="70"/>
      <c r="J92" s="70">
        <f t="shared" si="20"/>
        <v>0</v>
      </c>
      <c r="K92" s="70">
        <f t="shared" si="21"/>
        <v>0</v>
      </c>
    </row>
    <row r="93" spans="1:11" x14ac:dyDescent="0.25">
      <c r="A93" s="13" t="s">
        <v>266</v>
      </c>
      <c r="B93" s="43" t="s">
        <v>427</v>
      </c>
      <c r="C93" s="31" t="s">
        <v>418</v>
      </c>
      <c r="D93" s="71">
        <f>SUM(D86:D92)</f>
        <v>0</v>
      </c>
      <c r="E93" s="71">
        <f t="shared" ref="E93:K93" si="22">SUM(E86:E92)</f>
        <v>0</v>
      </c>
      <c r="F93" s="71">
        <f t="shared" si="22"/>
        <v>0</v>
      </c>
      <c r="G93" s="71">
        <f t="shared" si="22"/>
        <v>0</v>
      </c>
      <c r="H93" s="71">
        <f t="shared" si="22"/>
        <v>0</v>
      </c>
      <c r="I93" s="71">
        <f t="shared" si="22"/>
        <v>0</v>
      </c>
      <c r="J93" s="71">
        <f t="shared" si="22"/>
        <v>0</v>
      </c>
      <c r="K93" s="71">
        <f t="shared" si="22"/>
        <v>0</v>
      </c>
    </row>
    <row r="94" spans="1:11" s="25" customFormat="1" x14ac:dyDescent="0.25">
      <c r="A94" s="13" t="s">
        <v>267</v>
      </c>
      <c r="B94" s="16" t="s">
        <v>584</v>
      </c>
      <c r="C94" s="26" t="s">
        <v>428</v>
      </c>
      <c r="D94" s="72">
        <f>+D28+D29+D56+D59+D74+D80+D85+D93</f>
        <v>1174096512</v>
      </c>
      <c r="E94" s="72">
        <f t="shared" ref="E94:K94" si="23">+E28+E29+E56+E59+E74+E80+E85+E93</f>
        <v>0</v>
      </c>
      <c r="F94" s="72">
        <f t="shared" si="23"/>
        <v>163056997</v>
      </c>
      <c r="G94" s="72">
        <f t="shared" si="23"/>
        <v>0</v>
      </c>
      <c r="H94" s="72">
        <f t="shared" si="23"/>
        <v>406607296.26999998</v>
      </c>
      <c r="I94" s="72">
        <f t="shared" si="23"/>
        <v>0</v>
      </c>
      <c r="J94" s="72">
        <f t="shared" si="23"/>
        <v>1743760805.27</v>
      </c>
      <c r="K94" s="72">
        <f t="shared" si="23"/>
        <v>0</v>
      </c>
    </row>
    <row r="96" spans="1:11" ht="18.75" x14ac:dyDescent="0.25">
      <c r="A96" s="127" t="s">
        <v>55</v>
      </c>
      <c r="B96" s="127"/>
      <c r="C96" s="127"/>
      <c r="D96" s="127"/>
      <c r="E96" s="127"/>
      <c r="F96" s="127"/>
      <c r="G96" s="127"/>
      <c r="H96" s="127"/>
      <c r="I96" s="127"/>
      <c r="J96" s="127"/>
      <c r="K96" s="127"/>
    </row>
    <row r="97" spans="1:11" x14ac:dyDescent="0.25">
      <c r="A97" s="115" t="s">
        <v>0</v>
      </c>
      <c r="B97" s="6" t="s">
        <v>1</v>
      </c>
      <c r="C97" s="6" t="s">
        <v>2</v>
      </c>
      <c r="D97" s="4" t="s">
        <v>3</v>
      </c>
      <c r="E97" s="4" t="s">
        <v>4</v>
      </c>
      <c r="F97" s="4" t="s">
        <v>5</v>
      </c>
      <c r="G97" s="4" t="s">
        <v>6</v>
      </c>
      <c r="H97" s="4" t="s">
        <v>7</v>
      </c>
      <c r="I97" s="4" t="s">
        <v>8</v>
      </c>
      <c r="J97" s="4" t="s">
        <v>9</v>
      </c>
      <c r="K97" s="4" t="s">
        <v>59</v>
      </c>
    </row>
    <row r="98" spans="1:11" ht="45.75" customHeight="1" x14ac:dyDescent="0.25">
      <c r="A98" s="115"/>
      <c r="B98" s="115" t="s">
        <v>10</v>
      </c>
      <c r="C98" s="115" t="s">
        <v>58</v>
      </c>
      <c r="D98" s="124" t="s">
        <v>16</v>
      </c>
      <c r="E98" s="124"/>
      <c r="F98" s="124" t="s">
        <v>15</v>
      </c>
      <c r="G98" s="124"/>
      <c r="H98" s="115" t="s">
        <v>650</v>
      </c>
      <c r="I98" s="115"/>
      <c r="J98" s="124" t="s">
        <v>43</v>
      </c>
      <c r="K98" s="124"/>
    </row>
    <row r="99" spans="1:11" x14ac:dyDescent="0.25">
      <c r="A99" s="115"/>
      <c r="B99" s="122"/>
      <c r="C99" s="122"/>
      <c r="D99" s="3" t="s">
        <v>11</v>
      </c>
      <c r="E99" s="3" t="s">
        <v>12</v>
      </c>
      <c r="F99" s="3" t="s">
        <v>11</v>
      </c>
      <c r="G99" s="3" t="s">
        <v>12</v>
      </c>
      <c r="H99" s="3" t="s">
        <v>11</v>
      </c>
      <c r="I99" s="3" t="s">
        <v>12</v>
      </c>
      <c r="J99" s="3" t="s">
        <v>11</v>
      </c>
      <c r="K99" s="3" t="s">
        <v>12</v>
      </c>
    </row>
    <row r="100" spans="1:11" x14ac:dyDescent="0.25">
      <c r="A100" s="115"/>
      <c r="B100" s="122"/>
      <c r="C100" s="122"/>
      <c r="D100" s="123" t="s">
        <v>13</v>
      </c>
      <c r="E100" s="128"/>
      <c r="F100" s="123" t="s">
        <v>13</v>
      </c>
      <c r="G100" s="123"/>
      <c r="H100" s="123" t="s">
        <v>13</v>
      </c>
      <c r="I100" s="123"/>
      <c r="J100" s="123" t="s">
        <v>13</v>
      </c>
      <c r="K100" s="123"/>
    </row>
    <row r="101" spans="1:11" ht="30" x14ac:dyDescent="0.25">
      <c r="A101" s="6" t="s">
        <v>585</v>
      </c>
      <c r="B101" s="8" t="s">
        <v>440</v>
      </c>
      <c r="C101" s="13" t="s">
        <v>457</v>
      </c>
      <c r="D101" s="70"/>
      <c r="E101" s="70"/>
      <c r="F101" s="70"/>
      <c r="G101" s="70"/>
      <c r="H101" s="70"/>
      <c r="I101" s="70"/>
      <c r="J101" s="70">
        <f t="shared" ref="J101:K116" si="24">+D101+F101+H101</f>
        <v>0</v>
      </c>
      <c r="K101" s="70">
        <f t="shared" si="24"/>
        <v>0</v>
      </c>
    </row>
    <row r="102" spans="1:11" ht="30" x14ac:dyDescent="0.25">
      <c r="A102" s="6" t="s">
        <v>586</v>
      </c>
      <c r="B102" s="8" t="s">
        <v>441</v>
      </c>
      <c r="C102" s="13" t="s">
        <v>458</v>
      </c>
      <c r="D102" s="70"/>
      <c r="E102" s="70"/>
      <c r="F102" s="70"/>
      <c r="G102" s="70"/>
      <c r="H102" s="70"/>
      <c r="I102" s="70"/>
      <c r="J102" s="70">
        <f t="shared" si="24"/>
        <v>0</v>
      </c>
      <c r="K102" s="70">
        <f t="shared" si="24"/>
        <v>0</v>
      </c>
    </row>
    <row r="103" spans="1:11" ht="30" x14ac:dyDescent="0.25">
      <c r="A103" s="6" t="s">
        <v>587</v>
      </c>
      <c r="B103" s="8" t="s">
        <v>442</v>
      </c>
      <c r="C103" s="13" t="s">
        <v>459</v>
      </c>
      <c r="D103" s="70"/>
      <c r="E103" s="70"/>
      <c r="F103" s="70"/>
      <c r="G103" s="70"/>
      <c r="H103" s="70"/>
      <c r="I103" s="70"/>
      <c r="J103" s="70">
        <f t="shared" si="24"/>
        <v>0</v>
      </c>
      <c r="K103" s="70">
        <f t="shared" si="24"/>
        <v>0</v>
      </c>
    </row>
    <row r="104" spans="1:11" ht="30" x14ac:dyDescent="0.25">
      <c r="A104" s="6" t="s">
        <v>588</v>
      </c>
      <c r="B104" s="35" t="s">
        <v>443</v>
      </c>
      <c r="C104" s="32" t="s">
        <v>460</v>
      </c>
      <c r="D104" s="75">
        <f>SUM(D101:D103)</f>
        <v>0</v>
      </c>
      <c r="E104" s="75">
        <f t="shared" ref="E104:K104" si="25">SUM(E101:E103)</f>
        <v>0</v>
      </c>
      <c r="F104" s="75">
        <f t="shared" si="25"/>
        <v>0</v>
      </c>
      <c r="G104" s="75">
        <f t="shared" si="25"/>
        <v>0</v>
      </c>
      <c r="H104" s="75">
        <f t="shared" si="25"/>
        <v>0</v>
      </c>
      <c r="I104" s="75">
        <f t="shared" si="25"/>
        <v>0</v>
      </c>
      <c r="J104" s="75">
        <f t="shared" si="25"/>
        <v>0</v>
      </c>
      <c r="K104" s="75">
        <f t="shared" si="25"/>
        <v>0</v>
      </c>
    </row>
    <row r="105" spans="1:11" x14ac:dyDescent="0.25">
      <c r="A105" s="6" t="s">
        <v>589</v>
      </c>
      <c r="B105" s="8" t="s">
        <v>444</v>
      </c>
      <c r="C105" s="13" t="s">
        <v>461</v>
      </c>
      <c r="D105" s="70"/>
      <c r="E105" s="70"/>
      <c r="F105" s="70"/>
      <c r="G105" s="70"/>
      <c r="H105" s="70"/>
      <c r="I105" s="70"/>
      <c r="J105" s="70">
        <f t="shared" si="24"/>
        <v>0</v>
      </c>
      <c r="K105" s="70">
        <f t="shared" ref="K105:K110" si="26">+E105+G105+I105</f>
        <v>0</v>
      </c>
    </row>
    <row r="106" spans="1:11" x14ac:dyDescent="0.25">
      <c r="A106" s="6" t="s">
        <v>590</v>
      </c>
      <c r="B106" s="8" t="s">
        <v>445</v>
      </c>
      <c r="C106" s="13" t="s">
        <v>462</v>
      </c>
      <c r="D106" s="70"/>
      <c r="E106" s="70"/>
      <c r="F106" s="70"/>
      <c r="G106" s="70"/>
      <c r="H106" s="70"/>
      <c r="I106" s="70"/>
      <c r="J106" s="70">
        <f t="shared" si="24"/>
        <v>0</v>
      </c>
      <c r="K106" s="70">
        <f t="shared" si="26"/>
        <v>0</v>
      </c>
    </row>
    <row r="107" spans="1:11" x14ac:dyDescent="0.25">
      <c r="A107" s="6" t="s">
        <v>591</v>
      </c>
      <c r="B107" s="8" t="s">
        <v>446</v>
      </c>
      <c r="C107" s="13" t="s">
        <v>463</v>
      </c>
      <c r="D107" s="70"/>
      <c r="E107" s="70"/>
      <c r="F107" s="70"/>
      <c r="G107" s="70"/>
      <c r="H107" s="70"/>
      <c r="I107" s="70"/>
      <c r="J107" s="70">
        <f t="shared" si="24"/>
        <v>0</v>
      </c>
      <c r="K107" s="70">
        <f t="shared" si="26"/>
        <v>0</v>
      </c>
    </row>
    <row r="108" spans="1:11" x14ac:dyDescent="0.25">
      <c r="A108" s="6" t="s">
        <v>592</v>
      </c>
      <c r="B108" s="8" t="s">
        <v>447</v>
      </c>
      <c r="C108" s="13" t="s">
        <v>464</v>
      </c>
      <c r="D108" s="70"/>
      <c r="E108" s="70"/>
      <c r="F108" s="70"/>
      <c r="G108" s="70"/>
      <c r="H108" s="70"/>
      <c r="I108" s="70"/>
      <c r="J108" s="70">
        <f t="shared" si="24"/>
        <v>0</v>
      </c>
      <c r="K108" s="70">
        <f t="shared" si="26"/>
        <v>0</v>
      </c>
    </row>
    <row r="109" spans="1:11" x14ac:dyDescent="0.25">
      <c r="A109" s="6" t="s">
        <v>593</v>
      </c>
      <c r="B109" s="8" t="s">
        <v>448</v>
      </c>
      <c r="C109" s="13" t="s">
        <v>465</v>
      </c>
      <c r="D109" s="70"/>
      <c r="E109" s="70"/>
      <c r="F109" s="70"/>
      <c r="G109" s="70"/>
      <c r="H109" s="70"/>
      <c r="I109" s="70"/>
      <c r="J109" s="70">
        <f t="shared" si="24"/>
        <v>0</v>
      </c>
      <c r="K109" s="70">
        <f t="shared" si="26"/>
        <v>0</v>
      </c>
    </row>
    <row r="110" spans="1:11" x14ac:dyDescent="0.25">
      <c r="A110" s="6" t="s">
        <v>594</v>
      </c>
      <c r="B110" s="8" t="s">
        <v>449</v>
      </c>
      <c r="C110" s="13" t="s">
        <v>466</v>
      </c>
      <c r="D110" s="70"/>
      <c r="E110" s="70"/>
      <c r="F110" s="70"/>
      <c r="G110" s="70"/>
      <c r="H110" s="70"/>
      <c r="I110" s="70"/>
      <c r="J110" s="70">
        <f t="shared" si="24"/>
        <v>0</v>
      </c>
      <c r="K110" s="70">
        <f t="shared" si="26"/>
        <v>0</v>
      </c>
    </row>
    <row r="111" spans="1:11" x14ac:dyDescent="0.25">
      <c r="A111" s="6" t="s">
        <v>595</v>
      </c>
      <c r="B111" s="35" t="s">
        <v>450</v>
      </c>
      <c r="C111" s="32" t="s">
        <v>467</v>
      </c>
      <c r="D111" s="75">
        <f>SUM(D105:D110)</f>
        <v>0</v>
      </c>
      <c r="E111" s="75">
        <f t="shared" ref="E111:K111" si="27">SUM(E105:E110)</f>
        <v>0</v>
      </c>
      <c r="F111" s="75">
        <f t="shared" si="27"/>
        <v>0</v>
      </c>
      <c r="G111" s="75">
        <f t="shared" si="27"/>
        <v>0</v>
      </c>
      <c r="H111" s="75">
        <f t="shared" si="27"/>
        <v>0</v>
      </c>
      <c r="I111" s="75">
        <f t="shared" si="27"/>
        <v>0</v>
      </c>
      <c r="J111" s="75">
        <f t="shared" si="27"/>
        <v>0</v>
      </c>
      <c r="K111" s="75">
        <f t="shared" si="27"/>
        <v>0</v>
      </c>
    </row>
    <row r="112" spans="1:11" ht="30" x14ac:dyDescent="0.25">
      <c r="A112" s="6" t="s">
        <v>596</v>
      </c>
      <c r="B112" s="8" t="s">
        <v>451</v>
      </c>
      <c r="C112" s="13" t="s">
        <v>468</v>
      </c>
      <c r="D112" s="70"/>
      <c r="E112" s="70"/>
      <c r="F112" s="70"/>
      <c r="G112" s="70"/>
      <c r="H112" s="70"/>
      <c r="I112" s="70"/>
      <c r="J112" s="70">
        <f t="shared" si="24"/>
        <v>0</v>
      </c>
      <c r="K112" s="70">
        <f t="shared" ref="K112:K117" si="28">+E112+G112+I112</f>
        <v>0</v>
      </c>
    </row>
    <row r="113" spans="1:11" ht="30" x14ac:dyDescent="0.25">
      <c r="A113" s="6" t="s">
        <v>597</v>
      </c>
      <c r="B113" s="8" t="s">
        <v>452</v>
      </c>
      <c r="C113" s="13" t="s">
        <v>469</v>
      </c>
      <c r="D113" s="70">
        <v>20065423</v>
      </c>
      <c r="E113" s="70"/>
      <c r="F113" s="70"/>
      <c r="G113" s="70"/>
      <c r="H113" s="70"/>
      <c r="I113" s="70"/>
      <c r="J113" s="70">
        <f t="shared" si="24"/>
        <v>20065423</v>
      </c>
      <c r="K113" s="70">
        <f t="shared" si="28"/>
        <v>0</v>
      </c>
    </row>
    <row r="114" spans="1:11" x14ac:dyDescent="0.25">
      <c r="A114" s="6" t="s">
        <v>598</v>
      </c>
      <c r="B114" s="8" t="s">
        <v>453</v>
      </c>
      <c r="C114" s="13" t="s">
        <v>470</v>
      </c>
      <c r="D114" s="70"/>
      <c r="E114" s="70"/>
      <c r="F114" s="70"/>
      <c r="G114" s="70"/>
      <c r="H114" s="70"/>
      <c r="I114" s="70"/>
      <c r="J114" s="70">
        <f t="shared" si="24"/>
        <v>0</v>
      </c>
      <c r="K114" s="70">
        <f t="shared" si="28"/>
        <v>0</v>
      </c>
    </row>
    <row r="115" spans="1:11" x14ac:dyDescent="0.25">
      <c r="A115" s="6" t="s">
        <v>599</v>
      </c>
      <c r="B115" s="8" t="s">
        <v>454</v>
      </c>
      <c r="C115" s="13" t="s">
        <v>471</v>
      </c>
      <c r="D115" s="70"/>
      <c r="E115" s="70"/>
      <c r="F115" s="70"/>
      <c r="G115" s="70"/>
      <c r="H115" s="70"/>
      <c r="I115" s="70"/>
      <c r="J115" s="70">
        <f t="shared" si="24"/>
        <v>0</v>
      </c>
      <c r="K115" s="70">
        <f t="shared" si="28"/>
        <v>0</v>
      </c>
    </row>
    <row r="116" spans="1:11" x14ac:dyDescent="0.25">
      <c r="A116" s="6" t="s">
        <v>600</v>
      </c>
      <c r="B116" s="8" t="s">
        <v>455</v>
      </c>
      <c r="C116" s="13" t="s">
        <v>472</v>
      </c>
      <c r="D116" s="70"/>
      <c r="E116" s="70"/>
      <c r="F116" s="70"/>
      <c r="G116" s="70"/>
      <c r="H116" s="70"/>
      <c r="I116" s="70"/>
      <c r="J116" s="70">
        <f t="shared" si="24"/>
        <v>0</v>
      </c>
      <c r="K116" s="70">
        <f t="shared" si="28"/>
        <v>0</v>
      </c>
    </row>
    <row r="117" spans="1:11" ht="30" x14ac:dyDescent="0.25">
      <c r="A117" s="6" t="s">
        <v>601</v>
      </c>
      <c r="B117" s="8" t="s">
        <v>456</v>
      </c>
      <c r="C117" s="13" t="s">
        <v>473</v>
      </c>
      <c r="D117" s="70"/>
      <c r="E117" s="70"/>
      <c r="F117" s="70"/>
      <c r="G117" s="70"/>
      <c r="H117" s="70"/>
      <c r="I117" s="70"/>
      <c r="J117" s="70">
        <f t="shared" ref="J117" si="29">+D117+F117+H117</f>
        <v>0</v>
      </c>
      <c r="K117" s="70">
        <f t="shared" si="28"/>
        <v>0</v>
      </c>
    </row>
    <row r="118" spans="1:11" x14ac:dyDescent="0.25">
      <c r="A118" s="6" t="s">
        <v>602</v>
      </c>
      <c r="B118" s="14" t="s">
        <v>604</v>
      </c>
      <c r="C118" s="28" t="s">
        <v>474</v>
      </c>
      <c r="D118" s="72">
        <f>+D104+D111+D112+D113+D114+D115+D116+D117</f>
        <v>20065423</v>
      </c>
      <c r="E118" s="72">
        <f t="shared" ref="E118:K118" si="30">+E104+E111+E112+E113+E114+E115+E116+E117</f>
        <v>0</v>
      </c>
      <c r="F118" s="72">
        <f t="shared" si="30"/>
        <v>0</v>
      </c>
      <c r="G118" s="72">
        <f t="shared" si="30"/>
        <v>0</v>
      </c>
      <c r="H118" s="72">
        <f t="shared" si="30"/>
        <v>0</v>
      </c>
      <c r="I118" s="72">
        <f t="shared" si="30"/>
        <v>0</v>
      </c>
      <c r="J118" s="72">
        <f t="shared" si="30"/>
        <v>20065423</v>
      </c>
      <c r="K118" s="72">
        <f t="shared" si="30"/>
        <v>0</v>
      </c>
    </row>
    <row r="119" spans="1:11" x14ac:dyDescent="0.25">
      <c r="A119" s="5"/>
      <c r="D119" s="73"/>
      <c r="E119" s="73"/>
      <c r="F119" s="73"/>
      <c r="G119" s="73"/>
      <c r="H119" s="73"/>
      <c r="I119" s="73"/>
      <c r="J119" s="73"/>
      <c r="K119" s="73"/>
    </row>
    <row r="120" spans="1:11" ht="30" x14ac:dyDescent="0.25">
      <c r="A120" s="6" t="s">
        <v>603</v>
      </c>
      <c r="B120" s="54" t="s">
        <v>605</v>
      </c>
      <c r="C120" s="15" t="s">
        <v>572</v>
      </c>
      <c r="D120" s="72">
        <f>+D94+D118</f>
        <v>1194161935</v>
      </c>
      <c r="E120" s="72">
        <f t="shared" ref="E120:K120" si="31">+E94+E118</f>
        <v>0</v>
      </c>
      <c r="F120" s="72">
        <f t="shared" si="31"/>
        <v>163056997</v>
      </c>
      <c r="G120" s="72">
        <f t="shared" si="31"/>
        <v>0</v>
      </c>
      <c r="H120" s="72">
        <f t="shared" si="31"/>
        <v>406607296.26999998</v>
      </c>
      <c r="I120" s="72">
        <f t="shared" si="31"/>
        <v>0</v>
      </c>
      <c r="J120" s="72">
        <f t="shared" si="31"/>
        <v>1763826228.27</v>
      </c>
      <c r="K120" s="72">
        <f t="shared" si="31"/>
        <v>0</v>
      </c>
    </row>
  </sheetData>
  <mergeCells count="24">
    <mergeCell ref="A5:K5"/>
    <mergeCell ref="A96:K96"/>
    <mergeCell ref="A97:A100"/>
    <mergeCell ref="B98:B100"/>
    <mergeCell ref="C98:C100"/>
    <mergeCell ref="D98:E98"/>
    <mergeCell ref="F98:G98"/>
    <mergeCell ref="H98:I98"/>
    <mergeCell ref="J98:K98"/>
    <mergeCell ref="D100:E100"/>
    <mergeCell ref="F100:G100"/>
    <mergeCell ref="H100:I100"/>
    <mergeCell ref="J100:K100"/>
    <mergeCell ref="J7:K7"/>
    <mergeCell ref="D9:E9"/>
    <mergeCell ref="F9:G9"/>
    <mergeCell ref="H9:I9"/>
    <mergeCell ref="J9:K9"/>
    <mergeCell ref="H7:I7"/>
    <mergeCell ref="A6:A9"/>
    <mergeCell ref="B7:B9"/>
    <mergeCell ref="C7:C9"/>
    <mergeCell ref="D7:E7"/>
    <mergeCell ref="F7:G7"/>
  </mergeCells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A29C-5282-49BA-B450-A6DD65DEB5F4}">
  <sheetPr>
    <pageSetUpPr fitToPage="1"/>
  </sheetPr>
  <dimension ref="A1:I70"/>
  <sheetViews>
    <sheetView workbookViewId="0">
      <selection activeCell="E10" sqref="E10"/>
    </sheetView>
  </sheetViews>
  <sheetFormatPr defaultRowHeight="15" x14ac:dyDescent="0.25"/>
  <cols>
    <col min="1" max="1" width="8" customWidth="1"/>
    <col min="2" max="2" width="6.85546875" customWidth="1"/>
    <col min="3" max="3" width="63" customWidth="1"/>
    <col min="4" max="9" width="22.7109375" customWidth="1"/>
    <col min="10" max="10" width="18.5703125" customWidth="1"/>
  </cols>
  <sheetData>
    <row r="1" spans="1:9" x14ac:dyDescent="0.25">
      <c r="A1" s="12"/>
      <c r="B1" s="12"/>
      <c r="C1" s="5"/>
      <c r="D1" s="12"/>
      <c r="E1" s="12" t="s">
        <v>57</v>
      </c>
      <c r="F1" s="55"/>
      <c r="H1" s="40" t="s">
        <v>200</v>
      </c>
    </row>
    <row r="2" spans="1:9" x14ac:dyDescent="0.25">
      <c r="D2" s="12"/>
      <c r="E2" s="12" t="s">
        <v>616</v>
      </c>
    </row>
    <row r="3" spans="1:9" ht="14.25" customHeight="1" x14ac:dyDescent="0.25"/>
    <row r="4" spans="1:9" x14ac:dyDescent="0.25">
      <c r="A4" s="7"/>
      <c r="B4" s="152" t="s">
        <v>1</v>
      </c>
      <c r="C4" s="146"/>
      <c r="D4" s="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</row>
    <row r="5" spans="1:9" ht="30.75" customHeight="1" x14ac:dyDescent="0.25">
      <c r="A5" s="115" t="s">
        <v>0</v>
      </c>
      <c r="B5" s="134" t="s">
        <v>614</v>
      </c>
      <c r="C5" s="135"/>
      <c r="D5" s="144" t="s">
        <v>649</v>
      </c>
      <c r="E5" s="156"/>
      <c r="F5" s="145"/>
      <c r="G5" s="145"/>
      <c r="H5" s="157"/>
      <c r="I5" s="158"/>
    </row>
    <row r="6" spans="1:9" ht="28.5" x14ac:dyDescent="0.25">
      <c r="A6" s="115"/>
      <c r="B6" s="136"/>
      <c r="C6" s="137"/>
      <c r="D6" s="34" t="s">
        <v>617</v>
      </c>
      <c r="E6" s="34" t="s">
        <v>618</v>
      </c>
      <c r="F6" s="34" t="s">
        <v>619</v>
      </c>
      <c r="G6" s="34" t="s">
        <v>620</v>
      </c>
      <c r="H6" s="34" t="s">
        <v>621</v>
      </c>
      <c r="I6" s="34" t="s">
        <v>622</v>
      </c>
    </row>
    <row r="7" spans="1:9" ht="21.75" customHeight="1" x14ac:dyDescent="0.25">
      <c r="A7" s="57" t="s">
        <v>17</v>
      </c>
      <c r="B7" s="138" t="s">
        <v>623</v>
      </c>
      <c r="C7" s="139"/>
      <c r="D7" s="144"/>
      <c r="E7" s="145"/>
      <c r="F7" s="145"/>
      <c r="G7" s="145"/>
      <c r="H7" s="145"/>
      <c r="I7" s="146"/>
    </row>
    <row r="8" spans="1:9" x14ac:dyDescent="0.25">
      <c r="A8" s="57" t="s">
        <v>18</v>
      </c>
      <c r="B8" s="62" t="s">
        <v>197</v>
      </c>
      <c r="C8" s="63" t="s">
        <v>45</v>
      </c>
      <c r="D8" s="70">
        <v>556967969</v>
      </c>
      <c r="E8" s="70">
        <f>+'1. melléklet'!J17</f>
        <v>539453225</v>
      </c>
      <c r="F8" s="70"/>
      <c r="G8" s="70"/>
      <c r="H8" s="70"/>
      <c r="I8" s="70"/>
    </row>
    <row r="9" spans="1:9" x14ac:dyDescent="0.25">
      <c r="A9" s="57" t="s">
        <v>19</v>
      </c>
      <c r="B9" s="62" t="s">
        <v>611</v>
      </c>
      <c r="C9" s="63" t="s">
        <v>522</v>
      </c>
      <c r="D9" s="70">
        <v>26399949</v>
      </c>
      <c r="E9" s="70">
        <f>+'1. melléklet'!J23</f>
        <v>48549527</v>
      </c>
      <c r="F9" s="70"/>
      <c r="G9" s="70"/>
      <c r="H9" s="70"/>
      <c r="I9" s="70"/>
    </row>
    <row r="10" spans="1:9" x14ac:dyDescent="0.25">
      <c r="A10" s="57" t="s">
        <v>20</v>
      </c>
      <c r="B10" s="62" t="s">
        <v>169</v>
      </c>
      <c r="C10" s="63" t="s">
        <v>47</v>
      </c>
      <c r="D10" s="70">
        <v>205178345</v>
      </c>
      <c r="E10" s="70">
        <f>+'1. melléklet'!J33</f>
        <v>188500000</v>
      </c>
      <c r="F10" s="70"/>
      <c r="G10" s="70"/>
      <c r="H10" s="70"/>
      <c r="I10" s="70"/>
    </row>
    <row r="11" spans="1:9" x14ac:dyDescent="0.25">
      <c r="A11" s="57" t="s">
        <v>21</v>
      </c>
      <c r="B11" s="62" t="s">
        <v>170</v>
      </c>
      <c r="C11" s="63" t="s">
        <v>44</v>
      </c>
      <c r="D11" s="70">
        <f>38455749+140229+3204463</f>
        <v>41800441</v>
      </c>
      <c r="E11" s="70">
        <f>+'1. melléklet'!J47</f>
        <v>38897715</v>
      </c>
      <c r="F11" s="70"/>
      <c r="G11" s="70"/>
      <c r="H11" s="70"/>
      <c r="I11" s="70"/>
    </row>
    <row r="12" spans="1:9" x14ac:dyDescent="0.25">
      <c r="A12" s="57" t="s">
        <v>22</v>
      </c>
      <c r="B12" s="62" t="s">
        <v>189</v>
      </c>
      <c r="C12" s="63" t="s">
        <v>46</v>
      </c>
      <c r="D12" s="70">
        <v>262335</v>
      </c>
      <c r="E12" s="70">
        <f>+'1. melléklet'!J59</f>
        <v>500000</v>
      </c>
      <c r="F12" s="70"/>
      <c r="G12" s="70"/>
      <c r="H12" s="70"/>
      <c r="I12" s="70"/>
    </row>
    <row r="13" spans="1:9" x14ac:dyDescent="0.25">
      <c r="A13" s="57" t="s">
        <v>23</v>
      </c>
      <c r="B13" s="63"/>
      <c r="C13" s="64" t="s">
        <v>626</v>
      </c>
      <c r="D13" s="75">
        <f>SUM(D8:D12)</f>
        <v>830609039</v>
      </c>
      <c r="E13" s="75">
        <f t="shared" ref="E13:I13" si="0">SUM(E8:E12)</f>
        <v>815900467</v>
      </c>
      <c r="F13" s="75">
        <f t="shared" si="0"/>
        <v>0</v>
      </c>
      <c r="G13" s="75">
        <f t="shared" si="0"/>
        <v>0</v>
      </c>
      <c r="H13" s="75">
        <f t="shared" si="0"/>
        <v>0</v>
      </c>
      <c r="I13" s="75">
        <f t="shared" si="0"/>
        <v>0</v>
      </c>
    </row>
    <row r="14" spans="1:9" ht="19.5" customHeight="1" x14ac:dyDescent="0.25">
      <c r="A14" s="57" t="s">
        <v>24</v>
      </c>
      <c r="B14" s="138" t="s">
        <v>624</v>
      </c>
      <c r="C14" s="139"/>
      <c r="D14" s="147"/>
      <c r="E14" s="148"/>
      <c r="F14" s="148"/>
      <c r="G14" s="148"/>
      <c r="H14" s="148"/>
      <c r="I14" s="149"/>
    </row>
    <row r="15" spans="1:9" x14ac:dyDescent="0.25">
      <c r="A15" s="57" t="s">
        <v>25</v>
      </c>
      <c r="B15" s="62" t="s">
        <v>168</v>
      </c>
      <c r="C15" s="63" t="s">
        <v>523</v>
      </c>
      <c r="D15" s="70">
        <v>94906692</v>
      </c>
      <c r="E15" s="70">
        <f>+'1. melléklet'!J29</f>
        <v>520045733</v>
      </c>
      <c r="F15" s="70"/>
      <c r="G15" s="70"/>
      <c r="H15" s="70"/>
      <c r="I15" s="70"/>
    </row>
    <row r="16" spans="1:9" x14ac:dyDescent="0.25">
      <c r="A16" s="57" t="s">
        <v>26</v>
      </c>
      <c r="B16" s="62" t="s">
        <v>171</v>
      </c>
      <c r="C16" s="63" t="s">
        <v>528</v>
      </c>
      <c r="D16" s="70">
        <v>95683000</v>
      </c>
      <c r="E16" s="70">
        <f>+'1. melléklet'!J53</f>
        <v>77311200</v>
      </c>
      <c r="F16" s="70"/>
      <c r="G16" s="70"/>
      <c r="H16" s="70"/>
      <c r="I16" s="70"/>
    </row>
    <row r="17" spans="1:9" x14ac:dyDescent="0.25">
      <c r="A17" s="57" t="s">
        <v>27</v>
      </c>
      <c r="B17" s="62" t="s">
        <v>195</v>
      </c>
      <c r="C17" s="63" t="s">
        <v>562</v>
      </c>
      <c r="D17" s="70">
        <v>0</v>
      </c>
      <c r="E17" s="70">
        <f>+'1. melléklet'!J65</f>
        <v>10740000</v>
      </c>
      <c r="F17" s="70"/>
      <c r="G17" s="70"/>
      <c r="H17" s="70"/>
      <c r="I17" s="70"/>
    </row>
    <row r="18" spans="1:9" x14ac:dyDescent="0.25">
      <c r="A18" s="57" t="s">
        <v>28</v>
      </c>
      <c r="B18" s="63"/>
      <c r="C18" s="64" t="s">
        <v>625</v>
      </c>
      <c r="D18" s="75">
        <f>SUM(D15:D17)</f>
        <v>190589692</v>
      </c>
      <c r="E18" s="75">
        <f t="shared" ref="E18:I18" si="1">SUM(E15:E17)</f>
        <v>608096933</v>
      </c>
      <c r="F18" s="75">
        <f t="shared" si="1"/>
        <v>0</v>
      </c>
      <c r="G18" s="75">
        <f t="shared" si="1"/>
        <v>0</v>
      </c>
      <c r="H18" s="75">
        <f t="shared" si="1"/>
        <v>0</v>
      </c>
      <c r="I18" s="75">
        <f t="shared" si="1"/>
        <v>0</v>
      </c>
    </row>
    <row r="19" spans="1:9" ht="15" customHeight="1" x14ac:dyDescent="0.25">
      <c r="A19" s="57" t="s">
        <v>29</v>
      </c>
      <c r="B19" s="138" t="s">
        <v>627</v>
      </c>
      <c r="C19" s="139"/>
      <c r="D19" s="71">
        <f>+D13+D18</f>
        <v>1021198731</v>
      </c>
      <c r="E19" s="71">
        <f t="shared" ref="E19:I19" si="2">+E13+E18</f>
        <v>1423997400</v>
      </c>
      <c r="F19" s="71">
        <f t="shared" si="2"/>
        <v>0</v>
      </c>
      <c r="G19" s="71">
        <f t="shared" si="2"/>
        <v>0</v>
      </c>
      <c r="H19" s="71">
        <f t="shared" si="2"/>
        <v>0</v>
      </c>
      <c r="I19" s="71">
        <f t="shared" si="2"/>
        <v>0</v>
      </c>
    </row>
    <row r="20" spans="1:9" ht="18" customHeight="1" x14ac:dyDescent="0.25">
      <c r="A20" s="57" t="s">
        <v>30</v>
      </c>
      <c r="B20" s="130" t="s">
        <v>56</v>
      </c>
      <c r="C20" s="131"/>
      <c r="D20" s="147"/>
      <c r="E20" s="148"/>
      <c r="F20" s="148"/>
      <c r="G20" s="148"/>
      <c r="H20" s="148"/>
      <c r="I20" s="149"/>
    </row>
    <row r="21" spans="1:9" x14ac:dyDescent="0.25">
      <c r="A21" s="57" t="s">
        <v>31</v>
      </c>
      <c r="B21" s="63"/>
      <c r="C21" s="63" t="s">
        <v>628</v>
      </c>
      <c r="D21" s="70">
        <v>0</v>
      </c>
      <c r="E21" s="70">
        <f>+'1. melléklet'!J76</f>
        <v>0</v>
      </c>
      <c r="F21" s="70"/>
      <c r="G21" s="70"/>
      <c r="H21" s="70"/>
      <c r="I21" s="70"/>
    </row>
    <row r="22" spans="1:9" x14ac:dyDescent="0.25">
      <c r="A22" s="57" t="s">
        <v>32</v>
      </c>
      <c r="B22" s="63"/>
      <c r="C22" s="63" t="s">
        <v>629</v>
      </c>
      <c r="D22" s="70">
        <v>65097404</v>
      </c>
      <c r="E22" s="70">
        <f>+'1. melléklet'!J81</f>
        <v>67067368</v>
      </c>
      <c r="F22" s="70"/>
      <c r="G22" s="70"/>
      <c r="H22" s="70"/>
      <c r="I22" s="70"/>
    </row>
    <row r="23" spans="1:9" x14ac:dyDescent="0.25">
      <c r="A23" s="57" t="s">
        <v>33</v>
      </c>
      <c r="B23" s="63"/>
      <c r="C23" s="63" t="s">
        <v>630</v>
      </c>
      <c r="D23" s="70">
        <f>329773977+1129570+2120598</f>
        <v>333024145</v>
      </c>
      <c r="E23" s="70">
        <f>+'1. melléklet'!J84</f>
        <v>252696037</v>
      </c>
      <c r="F23" s="70"/>
      <c r="G23" s="70"/>
      <c r="H23" s="70"/>
      <c r="I23" s="70"/>
    </row>
    <row r="24" spans="1:9" x14ac:dyDescent="0.25">
      <c r="A24" s="57" t="s">
        <v>34</v>
      </c>
      <c r="B24" s="63"/>
      <c r="C24" s="63" t="s">
        <v>631</v>
      </c>
      <c r="D24" s="70">
        <v>23104455</v>
      </c>
      <c r="E24" s="70">
        <f>+'1. melléklet'!J85+'1. melléklet'!J86</f>
        <v>20065423</v>
      </c>
      <c r="F24" s="70"/>
      <c r="G24" s="70"/>
      <c r="H24" s="70"/>
      <c r="I24" s="70"/>
    </row>
    <row r="25" spans="1:9" x14ac:dyDescent="0.25">
      <c r="A25" s="57" t="s">
        <v>35</v>
      </c>
      <c r="B25" s="63"/>
      <c r="C25" s="63" t="s">
        <v>632</v>
      </c>
      <c r="D25" s="70"/>
      <c r="E25" s="70">
        <f>+'1. melléklet'!J87</f>
        <v>0</v>
      </c>
      <c r="F25" s="70"/>
      <c r="G25" s="70"/>
      <c r="H25" s="70"/>
      <c r="I25" s="70"/>
    </row>
    <row r="26" spans="1:9" x14ac:dyDescent="0.25">
      <c r="A26" s="57" t="s">
        <v>36</v>
      </c>
      <c r="B26" s="63"/>
      <c r="C26" s="63" t="s">
        <v>633</v>
      </c>
      <c r="D26" s="70">
        <v>0</v>
      </c>
      <c r="E26" s="70">
        <f>+'1. melléklet'!J88</f>
        <v>0</v>
      </c>
      <c r="F26" s="70"/>
      <c r="G26" s="70"/>
      <c r="H26" s="70"/>
      <c r="I26" s="70"/>
    </row>
    <row r="27" spans="1:9" ht="18" customHeight="1" x14ac:dyDescent="0.25">
      <c r="A27" s="57" t="s">
        <v>37</v>
      </c>
      <c r="B27" s="140" t="s">
        <v>634</v>
      </c>
      <c r="C27" s="141"/>
      <c r="D27" s="71">
        <f>SUM(D21:D26)</f>
        <v>421226004</v>
      </c>
      <c r="E27" s="71">
        <f t="shared" ref="E27:I27" si="3">SUM(E21:E26)</f>
        <v>339828828</v>
      </c>
      <c r="F27" s="71">
        <f t="shared" si="3"/>
        <v>0</v>
      </c>
      <c r="G27" s="71">
        <f t="shared" si="3"/>
        <v>0</v>
      </c>
      <c r="H27" s="71">
        <f t="shared" si="3"/>
        <v>0</v>
      </c>
      <c r="I27" s="71">
        <f t="shared" si="3"/>
        <v>0</v>
      </c>
    </row>
    <row r="28" spans="1:9" ht="18" customHeight="1" x14ac:dyDescent="0.25">
      <c r="A28" s="57" t="s">
        <v>38</v>
      </c>
      <c r="B28" s="142" t="s">
        <v>635</v>
      </c>
      <c r="C28" s="143"/>
      <c r="D28" s="72">
        <f>+D19+D27</f>
        <v>1442424735</v>
      </c>
      <c r="E28" s="72">
        <f t="shared" ref="E28:I28" si="4">+E19+E27</f>
        <v>1763826228</v>
      </c>
      <c r="F28" s="72">
        <f t="shared" si="4"/>
        <v>0</v>
      </c>
      <c r="G28" s="72">
        <f t="shared" si="4"/>
        <v>0</v>
      </c>
      <c r="H28" s="72">
        <f t="shared" si="4"/>
        <v>0</v>
      </c>
      <c r="I28" s="72">
        <f t="shared" si="4"/>
        <v>0</v>
      </c>
    </row>
    <row r="29" spans="1:9" x14ac:dyDescent="0.25">
      <c r="A29" s="152"/>
      <c r="B29" s="148"/>
      <c r="C29" s="148"/>
      <c r="D29" s="148"/>
      <c r="E29" s="148"/>
      <c r="F29" s="148"/>
      <c r="G29" s="148"/>
      <c r="H29" s="148"/>
      <c r="I29" s="149"/>
    </row>
    <row r="30" spans="1:9" ht="30.75" customHeight="1" x14ac:dyDescent="0.25">
      <c r="A30" s="57" t="s">
        <v>39</v>
      </c>
      <c r="B30" s="115" t="s">
        <v>615</v>
      </c>
      <c r="C30" s="122"/>
      <c r="D30" s="124" t="s">
        <v>649</v>
      </c>
      <c r="E30" s="124"/>
      <c r="F30" s="122"/>
      <c r="G30" s="122"/>
      <c r="H30" s="129"/>
      <c r="I30" s="129"/>
    </row>
    <row r="31" spans="1:9" ht="28.5" x14ac:dyDescent="0.25">
      <c r="A31" s="57" t="s">
        <v>40</v>
      </c>
      <c r="B31" s="122"/>
      <c r="C31" s="122"/>
      <c r="D31" s="34" t="s">
        <v>617</v>
      </c>
      <c r="E31" s="34" t="s">
        <v>618</v>
      </c>
      <c r="F31" s="34" t="s">
        <v>619</v>
      </c>
      <c r="G31" s="34" t="s">
        <v>620</v>
      </c>
      <c r="H31" s="34" t="s">
        <v>621</v>
      </c>
      <c r="I31" s="34" t="s">
        <v>622</v>
      </c>
    </row>
    <row r="32" spans="1:9" x14ac:dyDescent="0.25">
      <c r="A32" s="57" t="s">
        <v>41</v>
      </c>
      <c r="B32" s="132" t="s">
        <v>636</v>
      </c>
      <c r="C32" s="133"/>
      <c r="D32" s="147"/>
      <c r="E32" s="148"/>
      <c r="F32" s="148"/>
      <c r="G32" s="148"/>
      <c r="H32" s="148"/>
      <c r="I32" s="149"/>
    </row>
    <row r="33" spans="1:9" x14ac:dyDescent="0.25">
      <c r="A33" s="57" t="s">
        <v>42</v>
      </c>
      <c r="B33" s="7"/>
      <c r="C33" s="7" t="s">
        <v>49</v>
      </c>
      <c r="D33" s="70">
        <f>152654054+106280124+268670196</f>
        <v>527604374</v>
      </c>
      <c r="E33" s="70">
        <f>+'2. melléklet'!J28</f>
        <v>606647012</v>
      </c>
      <c r="F33" s="70"/>
      <c r="G33" s="70"/>
      <c r="H33" s="70"/>
      <c r="I33" s="70"/>
    </row>
    <row r="34" spans="1:9" x14ac:dyDescent="0.25">
      <c r="A34" s="57" t="s">
        <v>60</v>
      </c>
      <c r="B34" s="7"/>
      <c r="C34" s="7" t="s">
        <v>50</v>
      </c>
      <c r="D34" s="70">
        <f>19553000+13872387+31785015</f>
        <v>65210402</v>
      </c>
      <c r="E34" s="70">
        <f>+'2. melléklet'!J29</f>
        <v>78098284</v>
      </c>
      <c r="F34" s="70"/>
      <c r="G34" s="70"/>
      <c r="H34" s="70"/>
      <c r="I34" s="70"/>
    </row>
    <row r="35" spans="1:9" x14ac:dyDescent="0.25">
      <c r="A35" s="57" t="s">
        <v>61</v>
      </c>
      <c r="B35" s="7"/>
      <c r="C35" s="7" t="s">
        <v>637</v>
      </c>
      <c r="D35" s="70">
        <f>56158068+8744435+158659230</f>
        <v>223561733</v>
      </c>
      <c r="E35" s="70">
        <f>+'2. melléklet'!J56</f>
        <v>335427804</v>
      </c>
      <c r="F35" s="70"/>
      <c r="G35" s="70"/>
      <c r="H35" s="70"/>
      <c r="I35" s="70"/>
    </row>
    <row r="36" spans="1:9" x14ac:dyDescent="0.25">
      <c r="A36" s="57" t="s">
        <v>62</v>
      </c>
      <c r="B36" s="7"/>
      <c r="C36" s="7" t="s">
        <v>51</v>
      </c>
      <c r="D36" s="70">
        <v>4108999</v>
      </c>
      <c r="E36" s="70">
        <f>+'2. melléklet'!J59</f>
        <v>4200000</v>
      </c>
      <c r="F36" s="70"/>
      <c r="G36" s="70"/>
      <c r="H36" s="70"/>
      <c r="I36" s="70"/>
    </row>
    <row r="37" spans="1:9" x14ac:dyDescent="0.25">
      <c r="A37" s="57" t="s">
        <v>63</v>
      </c>
      <c r="B37" s="7"/>
      <c r="C37" s="7" t="s">
        <v>613</v>
      </c>
      <c r="D37" s="70">
        <v>110892493</v>
      </c>
      <c r="E37" s="70">
        <f>+'2. melléklet'!J74</f>
        <v>26325106</v>
      </c>
      <c r="F37" s="70"/>
      <c r="G37" s="70"/>
      <c r="H37" s="70"/>
      <c r="I37" s="70"/>
    </row>
    <row r="38" spans="1:9" x14ac:dyDescent="0.25">
      <c r="A38" s="57" t="s">
        <v>64</v>
      </c>
      <c r="B38" s="7"/>
      <c r="C38" s="43" t="s">
        <v>638</v>
      </c>
      <c r="D38" s="75">
        <f>SUM(D33:D37)</f>
        <v>931378001</v>
      </c>
      <c r="E38" s="75">
        <f>SUM(E33:E37)</f>
        <v>1050698206</v>
      </c>
      <c r="F38" s="75">
        <f t="shared" ref="F38:I38" si="5">SUM(F33:F37)</f>
        <v>0</v>
      </c>
      <c r="G38" s="75">
        <f t="shared" si="5"/>
        <v>0</v>
      </c>
      <c r="H38" s="75">
        <f t="shared" si="5"/>
        <v>0</v>
      </c>
      <c r="I38" s="75">
        <f t="shared" si="5"/>
        <v>0</v>
      </c>
    </row>
    <row r="39" spans="1:9" x14ac:dyDescent="0.25">
      <c r="A39" s="57" t="s">
        <v>65</v>
      </c>
      <c r="B39" s="132" t="s">
        <v>639</v>
      </c>
      <c r="C39" s="132"/>
      <c r="D39" s="147"/>
      <c r="E39" s="148"/>
      <c r="F39" s="148"/>
      <c r="G39" s="148"/>
      <c r="H39" s="148"/>
      <c r="I39" s="149"/>
    </row>
    <row r="40" spans="1:9" x14ac:dyDescent="0.25">
      <c r="A40" s="57" t="s">
        <v>66</v>
      </c>
      <c r="B40" s="7"/>
      <c r="C40" s="7" t="s">
        <v>540</v>
      </c>
      <c r="D40" s="70">
        <f>954560+5418727+68534508</f>
        <v>74907795</v>
      </c>
      <c r="E40" s="70">
        <f>+'2. melléklet'!J80</f>
        <v>511062599.26999998</v>
      </c>
      <c r="F40" s="70"/>
      <c r="G40" s="70"/>
      <c r="H40" s="70"/>
      <c r="I40" s="70"/>
    </row>
    <row r="41" spans="1:9" x14ac:dyDescent="0.25">
      <c r="A41" s="57" t="s">
        <v>240</v>
      </c>
      <c r="B41" s="7"/>
      <c r="C41" s="7" t="s">
        <v>541</v>
      </c>
      <c r="D41" s="70">
        <f>909274+31349860</f>
        <v>32259134</v>
      </c>
      <c r="E41" s="70">
        <f>+'2. melléklet'!J85</f>
        <v>182000000</v>
      </c>
      <c r="F41" s="70"/>
      <c r="G41" s="70"/>
      <c r="H41" s="70"/>
      <c r="I41" s="70"/>
    </row>
    <row r="42" spans="1:9" x14ac:dyDescent="0.25">
      <c r="A42" s="57" t="s">
        <v>67</v>
      </c>
      <c r="B42" s="7"/>
      <c r="C42" s="7" t="s">
        <v>640</v>
      </c>
      <c r="D42" s="70">
        <v>0</v>
      </c>
      <c r="E42" s="70">
        <f>+'2. melléklet'!J93</f>
        <v>0</v>
      </c>
      <c r="F42" s="70"/>
      <c r="G42" s="70"/>
      <c r="H42" s="70"/>
      <c r="I42" s="70"/>
    </row>
    <row r="43" spans="1:9" x14ac:dyDescent="0.25">
      <c r="A43" s="57" t="s">
        <v>68</v>
      </c>
      <c r="B43" s="7"/>
      <c r="C43" s="43" t="s">
        <v>641</v>
      </c>
      <c r="D43" s="75">
        <f>SUM(D40:D42)</f>
        <v>107166929</v>
      </c>
      <c r="E43" s="75">
        <f>SUM(E40:E42)</f>
        <v>693062599.26999998</v>
      </c>
      <c r="F43" s="75">
        <f t="shared" ref="F43:I43" si="6">SUM(F40:F42)</f>
        <v>0</v>
      </c>
      <c r="G43" s="75">
        <f t="shared" si="6"/>
        <v>0</v>
      </c>
      <c r="H43" s="75">
        <f t="shared" si="6"/>
        <v>0</v>
      </c>
      <c r="I43" s="75">
        <f t="shared" si="6"/>
        <v>0</v>
      </c>
    </row>
    <row r="44" spans="1:9" x14ac:dyDescent="0.25">
      <c r="A44" s="57" t="s">
        <v>241</v>
      </c>
      <c r="B44" s="132" t="s">
        <v>642</v>
      </c>
      <c r="C44" s="132"/>
      <c r="D44" s="71">
        <f>+D38+D43</f>
        <v>1038544930</v>
      </c>
      <c r="E44" s="71">
        <f>+E38+E43</f>
        <v>1743760805.27</v>
      </c>
      <c r="F44" s="71">
        <f t="shared" ref="F44:I44" si="7">+F38+F43</f>
        <v>0</v>
      </c>
      <c r="G44" s="71">
        <f t="shared" si="7"/>
        <v>0</v>
      </c>
      <c r="H44" s="71">
        <f t="shared" si="7"/>
        <v>0</v>
      </c>
      <c r="I44" s="71">
        <f t="shared" si="7"/>
        <v>0</v>
      </c>
    </row>
    <row r="45" spans="1:9" x14ac:dyDescent="0.25">
      <c r="A45" s="57" t="s">
        <v>69</v>
      </c>
      <c r="B45" s="132" t="s">
        <v>55</v>
      </c>
      <c r="C45" s="133"/>
      <c r="D45" s="147"/>
      <c r="E45" s="148"/>
      <c r="F45" s="148"/>
      <c r="G45" s="148"/>
      <c r="H45" s="148"/>
      <c r="I45" s="149"/>
    </row>
    <row r="46" spans="1:9" x14ac:dyDescent="0.25">
      <c r="A46" s="57" t="s">
        <v>70</v>
      </c>
      <c r="B46" s="7"/>
      <c r="C46" s="7" t="s">
        <v>643</v>
      </c>
      <c r="D46" s="70">
        <v>132164772</v>
      </c>
      <c r="E46" s="70">
        <f>+'2. melléklet'!J111</f>
        <v>0</v>
      </c>
      <c r="F46" s="70"/>
      <c r="G46" s="70"/>
      <c r="H46" s="70"/>
      <c r="I46" s="70"/>
    </row>
    <row r="47" spans="1:9" x14ac:dyDescent="0.25">
      <c r="A47" s="57" t="s">
        <v>71</v>
      </c>
      <c r="B47" s="7"/>
      <c r="C47" s="7" t="s">
        <v>452</v>
      </c>
      <c r="D47" s="70">
        <v>19052130</v>
      </c>
      <c r="E47" s="70">
        <f>+'2. melléklet'!J112+'2. melléklet'!J113</f>
        <v>20065423</v>
      </c>
      <c r="F47" s="70"/>
      <c r="G47" s="70"/>
      <c r="H47" s="70"/>
      <c r="I47" s="70"/>
    </row>
    <row r="48" spans="1:9" x14ac:dyDescent="0.25">
      <c r="A48" s="57" t="s">
        <v>72</v>
      </c>
      <c r="B48" s="90"/>
      <c r="C48" s="7" t="s">
        <v>644</v>
      </c>
      <c r="D48" s="70"/>
      <c r="E48" s="70">
        <f>+'2. melléklet'!J114</f>
        <v>0</v>
      </c>
      <c r="F48" s="70"/>
      <c r="G48" s="70"/>
      <c r="H48" s="70"/>
      <c r="I48" s="70"/>
    </row>
    <row r="49" spans="1:9" x14ac:dyDescent="0.25">
      <c r="A49" s="57" t="s">
        <v>73</v>
      </c>
      <c r="B49" s="7"/>
      <c r="C49" s="7" t="s">
        <v>645</v>
      </c>
      <c r="D49" s="70">
        <v>0</v>
      </c>
      <c r="E49" s="70">
        <f>+'2. melléklet'!J115</f>
        <v>0</v>
      </c>
      <c r="F49" s="70"/>
      <c r="G49" s="70"/>
      <c r="H49" s="70"/>
      <c r="I49" s="70"/>
    </row>
    <row r="50" spans="1:9" x14ac:dyDescent="0.25">
      <c r="A50" s="57" t="s">
        <v>74</v>
      </c>
      <c r="B50" s="43" t="s">
        <v>646</v>
      </c>
      <c r="C50" s="43"/>
      <c r="D50" s="75">
        <f>SUM(D46:D49)</f>
        <v>151216902</v>
      </c>
      <c r="E50" s="75">
        <f>SUM(E46:E49)</f>
        <v>20065423</v>
      </c>
      <c r="F50" s="75">
        <f t="shared" ref="F50:I50" si="8">SUM(F46:F49)</f>
        <v>0</v>
      </c>
      <c r="G50" s="75">
        <f t="shared" si="8"/>
        <v>0</v>
      </c>
      <c r="H50" s="75">
        <f t="shared" si="8"/>
        <v>0</v>
      </c>
      <c r="I50" s="75">
        <f t="shared" si="8"/>
        <v>0</v>
      </c>
    </row>
    <row r="51" spans="1:9" x14ac:dyDescent="0.25">
      <c r="A51" s="57" t="s">
        <v>75</v>
      </c>
      <c r="B51" s="153" t="s">
        <v>647</v>
      </c>
      <c r="C51" s="154"/>
      <c r="D51" s="72">
        <f>+D44+D50</f>
        <v>1189761832</v>
      </c>
      <c r="E51" s="72">
        <f>+E44+E50</f>
        <v>1763826228.27</v>
      </c>
      <c r="F51" s="72">
        <f t="shared" ref="F51:I51" si="9">+F44+F50</f>
        <v>0</v>
      </c>
      <c r="G51" s="72">
        <f t="shared" si="9"/>
        <v>0</v>
      </c>
      <c r="H51" s="72">
        <f t="shared" si="9"/>
        <v>0</v>
      </c>
      <c r="I51" s="72">
        <f t="shared" si="9"/>
        <v>0</v>
      </c>
    </row>
    <row r="52" spans="1:9" x14ac:dyDescent="0.25">
      <c r="A52" s="152"/>
      <c r="B52" s="148"/>
      <c r="C52" s="148"/>
      <c r="D52" s="148"/>
      <c r="E52" s="148"/>
      <c r="F52" s="148"/>
      <c r="G52" s="148"/>
      <c r="H52" s="148"/>
      <c r="I52" s="149"/>
    </row>
    <row r="53" spans="1:9" x14ac:dyDescent="0.25">
      <c r="A53" s="57" t="s">
        <v>76</v>
      </c>
      <c r="B53" s="155" t="s">
        <v>648</v>
      </c>
      <c r="C53" s="149"/>
      <c r="D53" s="76">
        <f>+D28-D51</f>
        <v>252662903</v>
      </c>
      <c r="E53" s="76">
        <f>+E28-E51</f>
        <v>-0.26999998092651367</v>
      </c>
      <c r="F53" s="76">
        <f t="shared" ref="F53:I53" si="10">+F28+F51</f>
        <v>0</v>
      </c>
      <c r="G53" s="76">
        <f t="shared" si="10"/>
        <v>0</v>
      </c>
      <c r="H53" s="76">
        <f t="shared" si="10"/>
        <v>0</v>
      </c>
      <c r="I53" s="76">
        <f t="shared" si="10"/>
        <v>0</v>
      </c>
    </row>
    <row r="54" spans="1:9" x14ac:dyDescent="0.25">
      <c r="A54" s="59"/>
    </row>
    <row r="55" spans="1:9" x14ac:dyDescent="0.25">
      <c r="A55" s="59"/>
    </row>
    <row r="56" spans="1:9" ht="28.5" x14ac:dyDescent="0.25">
      <c r="A56" s="57" t="s">
        <v>77</v>
      </c>
      <c r="B56" s="132" t="s">
        <v>666</v>
      </c>
      <c r="C56" s="132"/>
      <c r="D56" s="34" t="s">
        <v>745</v>
      </c>
      <c r="E56" s="34" t="s">
        <v>618</v>
      </c>
    </row>
    <row r="57" spans="1:9" x14ac:dyDescent="0.25">
      <c r="A57" s="57" t="s">
        <v>78</v>
      </c>
      <c r="B57" s="7"/>
      <c r="C57" s="7" t="s">
        <v>662</v>
      </c>
      <c r="D57" s="70">
        <f>+D13</f>
        <v>830609039</v>
      </c>
      <c r="E57" s="70">
        <f>+E13</f>
        <v>815900467</v>
      </c>
      <c r="G57" s="73"/>
    </row>
    <row r="58" spans="1:9" x14ac:dyDescent="0.25">
      <c r="A58" s="57" t="s">
        <v>79</v>
      </c>
      <c r="B58" s="7"/>
      <c r="C58" s="7" t="s">
        <v>663</v>
      </c>
      <c r="D58" s="70">
        <f>+D38</f>
        <v>931378001</v>
      </c>
      <c r="E58" s="70">
        <f>+E38</f>
        <v>1050698206</v>
      </c>
      <c r="G58" s="73"/>
    </row>
    <row r="59" spans="1:9" x14ac:dyDescent="0.25">
      <c r="A59" s="57" t="s">
        <v>80</v>
      </c>
      <c r="B59" s="7"/>
      <c r="C59" s="43" t="s">
        <v>667</v>
      </c>
      <c r="D59" s="71">
        <f>+D57-D58</f>
        <v>-100768962</v>
      </c>
      <c r="E59" s="71">
        <f>+E57-E58</f>
        <v>-234797739</v>
      </c>
    </row>
    <row r="60" spans="1:9" x14ac:dyDescent="0.25">
      <c r="A60" s="57" t="s">
        <v>81</v>
      </c>
      <c r="B60" s="7"/>
      <c r="C60" s="7" t="s">
        <v>664</v>
      </c>
      <c r="D60" s="70">
        <f>+D18</f>
        <v>190589692</v>
      </c>
      <c r="E60" s="70">
        <f>+E18</f>
        <v>608096933</v>
      </c>
      <c r="G60" s="73"/>
    </row>
    <row r="61" spans="1:9" x14ac:dyDescent="0.25">
      <c r="A61" s="57" t="s">
        <v>82</v>
      </c>
      <c r="B61" s="7"/>
      <c r="C61" s="7" t="s">
        <v>665</v>
      </c>
      <c r="D61" s="70">
        <f>+D43</f>
        <v>107166929</v>
      </c>
      <c r="E61" s="70">
        <f>+E43</f>
        <v>693062599.26999998</v>
      </c>
      <c r="G61" s="73"/>
    </row>
    <row r="62" spans="1:9" x14ac:dyDescent="0.25">
      <c r="A62" s="57" t="s">
        <v>83</v>
      </c>
      <c r="B62" s="7"/>
      <c r="C62" s="43" t="s">
        <v>668</v>
      </c>
      <c r="D62" s="71">
        <f>+D60-D61</f>
        <v>83422763</v>
      </c>
      <c r="E62" s="71">
        <f>+E60-E61</f>
        <v>-84965666.269999981</v>
      </c>
      <c r="G62" s="73"/>
    </row>
    <row r="63" spans="1:9" x14ac:dyDescent="0.25">
      <c r="A63" s="77"/>
      <c r="D63" s="78"/>
      <c r="E63" s="78"/>
    </row>
    <row r="64" spans="1:9" x14ac:dyDescent="0.25">
      <c r="A64" s="6" t="s">
        <v>84</v>
      </c>
      <c r="B64" s="150" t="s">
        <v>666</v>
      </c>
      <c r="C64" s="151"/>
      <c r="D64" s="72">
        <f>+D59+D62</f>
        <v>-17346199</v>
      </c>
      <c r="E64" s="72">
        <f>+E59+E62</f>
        <v>-319763405.26999998</v>
      </c>
    </row>
    <row r="65" spans="3:7" x14ac:dyDescent="0.25">
      <c r="G65" s="73"/>
    </row>
    <row r="66" spans="3:7" x14ac:dyDescent="0.25">
      <c r="C66" t="s">
        <v>56</v>
      </c>
      <c r="D66" s="73">
        <f>+D27</f>
        <v>421226004</v>
      </c>
      <c r="E66" s="73">
        <f>+E27</f>
        <v>339828828</v>
      </c>
      <c r="G66" s="73">
        <f>+E57+E60+E66</f>
        <v>1763826228</v>
      </c>
    </row>
    <row r="67" spans="3:7" x14ac:dyDescent="0.25">
      <c r="C67" t="s">
        <v>55</v>
      </c>
      <c r="D67" s="73">
        <f>+D50</f>
        <v>151216902</v>
      </c>
      <c r="E67" s="73">
        <f>+E50</f>
        <v>20065423</v>
      </c>
      <c r="G67" s="73">
        <f>+E58+E61+E67</f>
        <v>1763826228.27</v>
      </c>
    </row>
    <row r="68" spans="3:7" x14ac:dyDescent="0.25">
      <c r="D68" s="73">
        <f>+D66-D67</f>
        <v>270009102</v>
      </c>
      <c r="E68" s="73">
        <f>+E66-E67</f>
        <v>319763405</v>
      </c>
      <c r="G68" s="73">
        <f>+G66-G67</f>
        <v>-0.26999998092651367</v>
      </c>
    </row>
    <row r="70" spans="3:7" x14ac:dyDescent="0.25">
      <c r="D70" s="73">
        <f>+D64+D68</f>
        <v>252662903</v>
      </c>
      <c r="E70" s="73">
        <f>+E64+E68</f>
        <v>-0.26999998092651367</v>
      </c>
    </row>
  </sheetData>
  <mergeCells count="28">
    <mergeCell ref="B64:C64"/>
    <mergeCell ref="B4:C4"/>
    <mergeCell ref="B14:C14"/>
    <mergeCell ref="B30:C31"/>
    <mergeCell ref="B39:C39"/>
    <mergeCell ref="B51:C51"/>
    <mergeCell ref="B53:C53"/>
    <mergeCell ref="B44:C44"/>
    <mergeCell ref="B45:C45"/>
    <mergeCell ref="A52:I52"/>
    <mergeCell ref="D39:I39"/>
    <mergeCell ref="D45:I45"/>
    <mergeCell ref="A29:I29"/>
    <mergeCell ref="B56:C56"/>
    <mergeCell ref="A5:A6"/>
    <mergeCell ref="D5:I5"/>
    <mergeCell ref="D30:I30"/>
    <mergeCell ref="B20:C20"/>
    <mergeCell ref="B32:C32"/>
    <mergeCell ref="B5:C6"/>
    <mergeCell ref="B7:C7"/>
    <mergeCell ref="B19:C19"/>
    <mergeCell ref="B27:C27"/>
    <mergeCell ref="B28:C28"/>
    <mergeCell ref="D7:I7"/>
    <mergeCell ref="D14:I14"/>
    <mergeCell ref="D20:I20"/>
    <mergeCell ref="D32:I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fitToHeight="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A524-67CD-49BF-80E4-0F95E498ACE0}">
  <dimension ref="A1:K158"/>
  <sheetViews>
    <sheetView workbookViewId="0">
      <selection activeCell="E50" sqref="E50"/>
    </sheetView>
  </sheetViews>
  <sheetFormatPr defaultRowHeight="15" x14ac:dyDescent="0.25"/>
  <cols>
    <col min="3" max="3" width="62.42578125" customWidth="1"/>
    <col min="4" max="11" width="19.5703125" customWidth="1"/>
  </cols>
  <sheetData>
    <row r="1" spans="1:11" x14ac:dyDescent="0.25">
      <c r="A1" s="12"/>
      <c r="B1" s="12"/>
      <c r="C1" s="1"/>
      <c r="D1" s="12"/>
      <c r="E1" s="2"/>
      <c r="F1" s="12" t="s">
        <v>57</v>
      </c>
      <c r="G1" s="2"/>
      <c r="H1" s="2"/>
      <c r="I1" s="40"/>
      <c r="J1" s="65" t="s">
        <v>669</v>
      </c>
      <c r="K1" s="2"/>
    </row>
    <row r="2" spans="1:11" x14ac:dyDescent="0.25">
      <c r="D2" s="12"/>
      <c r="F2" s="12" t="s">
        <v>661</v>
      </c>
    </row>
    <row r="4" spans="1:11" x14ac:dyDescent="0.25">
      <c r="A4" s="7"/>
      <c r="B4" s="152" t="s">
        <v>1</v>
      </c>
      <c r="C4" s="146"/>
      <c r="D4" s="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45.75" customHeight="1" x14ac:dyDescent="0.25">
      <c r="A5" s="115" t="s">
        <v>0</v>
      </c>
      <c r="B5" s="134" t="s">
        <v>614</v>
      </c>
      <c r="C5" s="135"/>
      <c r="D5" s="167" t="s">
        <v>16</v>
      </c>
      <c r="E5" s="168"/>
      <c r="F5" s="169"/>
      <c r="G5" s="170"/>
      <c r="H5" s="167" t="s">
        <v>16</v>
      </c>
      <c r="I5" s="168"/>
      <c r="J5" s="169"/>
      <c r="K5" s="170"/>
    </row>
    <row r="6" spans="1:11" ht="30" customHeight="1" x14ac:dyDescent="0.25">
      <c r="A6" s="115"/>
      <c r="B6" s="165"/>
      <c r="C6" s="166"/>
      <c r="D6" s="34" t="s">
        <v>608</v>
      </c>
      <c r="E6" s="34" t="s">
        <v>606</v>
      </c>
      <c r="F6" s="34" t="s">
        <v>607</v>
      </c>
      <c r="G6" s="34" t="s">
        <v>505</v>
      </c>
      <c r="H6" s="34" t="s">
        <v>608</v>
      </c>
      <c r="I6" s="34" t="s">
        <v>606</v>
      </c>
      <c r="J6" s="34" t="s">
        <v>607</v>
      </c>
      <c r="K6" s="34" t="s">
        <v>505</v>
      </c>
    </row>
    <row r="7" spans="1:11" ht="15" customHeight="1" x14ac:dyDescent="0.25">
      <c r="A7" s="115"/>
      <c r="B7" s="136"/>
      <c r="C7" s="137"/>
      <c r="D7" s="144" t="s">
        <v>609</v>
      </c>
      <c r="E7" s="162"/>
      <c r="F7" s="163"/>
      <c r="G7" s="164"/>
      <c r="H7" s="144" t="s">
        <v>610</v>
      </c>
      <c r="I7" s="156"/>
      <c r="J7" s="145"/>
      <c r="K7" s="146"/>
    </row>
    <row r="8" spans="1:11" ht="15" customHeight="1" x14ac:dyDescent="0.25">
      <c r="A8" s="13" t="s">
        <v>17</v>
      </c>
      <c r="B8" s="138" t="s">
        <v>623</v>
      </c>
      <c r="C8" s="139"/>
      <c r="D8" s="96"/>
      <c r="E8" s="96"/>
      <c r="F8" s="96"/>
      <c r="G8" s="96"/>
      <c r="H8" s="96"/>
      <c r="I8" s="96"/>
      <c r="J8" s="96"/>
      <c r="K8" s="96"/>
    </row>
    <row r="9" spans="1:11" ht="15.75" customHeight="1" x14ac:dyDescent="0.25">
      <c r="A9" s="13" t="s">
        <v>18</v>
      </c>
      <c r="B9" s="113" t="s">
        <v>559</v>
      </c>
      <c r="C9" s="63" t="s">
        <v>522</v>
      </c>
      <c r="D9" s="81"/>
      <c r="E9" s="81">
        <f>+'1. melléklet'!D17+'1. melléklet'!D23</f>
        <v>588002752</v>
      </c>
      <c r="F9" s="81"/>
      <c r="G9" s="101">
        <f>+D9+E9+F9</f>
        <v>588002752</v>
      </c>
      <c r="H9" s="81"/>
      <c r="I9" s="81"/>
      <c r="J9" s="81"/>
      <c r="K9" s="101">
        <f>+H9+I9+J9</f>
        <v>0</v>
      </c>
    </row>
    <row r="10" spans="1:11" x14ac:dyDescent="0.25">
      <c r="A10" s="13" t="s">
        <v>19</v>
      </c>
      <c r="B10" s="113" t="s">
        <v>169</v>
      </c>
      <c r="C10" s="63" t="s">
        <v>47</v>
      </c>
      <c r="D10" s="81"/>
      <c r="E10" s="81">
        <f>+'1. melléklet'!D33</f>
        <v>188500000</v>
      </c>
      <c r="F10" s="81"/>
      <c r="G10" s="101">
        <f t="shared" ref="G10:G12" si="0">+D10+E10+F10</f>
        <v>188500000</v>
      </c>
      <c r="H10" s="81"/>
      <c r="I10" s="81"/>
      <c r="J10" s="81"/>
      <c r="K10" s="101">
        <f t="shared" ref="K10:K12" si="1">+H10+I10+J10</f>
        <v>0</v>
      </c>
    </row>
    <row r="11" spans="1:11" x14ac:dyDescent="0.25">
      <c r="A11" s="13" t="s">
        <v>20</v>
      </c>
      <c r="B11" s="113" t="s">
        <v>170</v>
      </c>
      <c r="C11" s="63" t="s">
        <v>44</v>
      </c>
      <c r="D11" s="81"/>
      <c r="E11" s="81">
        <f>+'1. melléklet'!D47</f>
        <v>35833521</v>
      </c>
      <c r="F11" s="81"/>
      <c r="G11" s="101">
        <f t="shared" si="0"/>
        <v>35833521</v>
      </c>
      <c r="H11" s="81"/>
      <c r="I11" s="81"/>
      <c r="J11" s="81"/>
      <c r="K11" s="101">
        <f t="shared" si="1"/>
        <v>0</v>
      </c>
    </row>
    <row r="12" spans="1:11" x14ac:dyDescent="0.25">
      <c r="A12" s="13" t="s">
        <v>21</v>
      </c>
      <c r="B12" s="113" t="s">
        <v>189</v>
      </c>
      <c r="C12" s="63" t="s">
        <v>46</v>
      </c>
      <c r="D12" s="81"/>
      <c r="E12" s="81">
        <v>0</v>
      </c>
      <c r="F12" s="81">
        <f>+'1. melléklet'!D59</f>
        <v>500000</v>
      </c>
      <c r="G12" s="101">
        <f t="shared" si="0"/>
        <v>500000</v>
      </c>
      <c r="H12" s="81"/>
      <c r="I12" s="81"/>
      <c r="J12" s="81"/>
      <c r="K12" s="101">
        <f t="shared" si="1"/>
        <v>0</v>
      </c>
    </row>
    <row r="13" spans="1:11" x14ac:dyDescent="0.25">
      <c r="A13" s="13" t="s">
        <v>22</v>
      </c>
      <c r="B13" s="63"/>
      <c r="C13" s="64" t="s">
        <v>651</v>
      </c>
      <c r="D13" s="96">
        <f>SUM(D7:D12)</f>
        <v>0</v>
      </c>
      <c r="E13" s="96">
        <f t="shared" ref="E13:J13" si="2">SUM(E7:E12)</f>
        <v>812336273</v>
      </c>
      <c r="F13" s="96">
        <f t="shared" si="2"/>
        <v>500000</v>
      </c>
      <c r="G13" s="82">
        <f t="shared" si="2"/>
        <v>812836273</v>
      </c>
      <c r="H13" s="96">
        <f t="shared" si="2"/>
        <v>0</v>
      </c>
      <c r="I13" s="96">
        <f t="shared" si="2"/>
        <v>0</v>
      </c>
      <c r="J13" s="96">
        <f t="shared" si="2"/>
        <v>0</v>
      </c>
      <c r="K13" s="82">
        <f t="shared" ref="K13" si="3">SUM(K7:K12)</f>
        <v>0</v>
      </c>
    </row>
    <row r="14" spans="1:11" ht="15" customHeight="1" x14ac:dyDescent="0.25">
      <c r="A14" s="13" t="s">
        <v>23</v>
      </c>
      <c r="B14" s="138" t="s">
        <v>624</v>
      </c>
      <c r="C14" s="139"/>
      <c r="D14" s="96"/>
      <c r="E14" s="96"/>
      <c r="F14" s="96"/>
      <c r="G14" s="82"/>
      <c r="H14" s="96"/>
      <c r="I14" s="96"/>
      <c r="J14" s="96"/>
      <c r="K14" s="82"/>
    </row>
    <row r="15" spans="1:11" x14ac:dyDescent="0.25">
      <c r="A15" s="13" t="s">
        <v>24</v>
      </c>
      <c r="B15" s="113" t="s">
        <v>168</v>
      </c>
      <c r="C15" s="63" t="s">
        <v>523</v>
      </c>
      <c r="D15" s="81"/>
      <c r="E15" s="81">
        <f>+'1. melléklet'!D29</f>
        <v>520045733</v>
      </c>
      <c r="F15" s="81"/>
      <c r="G15" s="101">
        <f t="shared" ref="G15:G17" si="4">+D15+E15+F15</f>
        <v>520045733</v>
      </c>
      <c r="H15" s="81"/>
      <c r="I15" s="81"/>
      <c r="J15" s="81"/>
      <c r="K15" s="101">
        <f t="shared" ref="K15:K17" si="5">+H15+I15+J15</f>
        <v>0</v>
      </c>
    </row>
    <row r="16" spans="1:11" x14ac:dyDescent="0.25">
      <c r="A16" s="13" t="s">
        <v>25</v>
      </c>
      <c r="B16" s="113" t="s">
        <v>171</v>
      </c>
      <c r="C16" s="63" t="s">
        <v>528</v>
      </c>
      <c r="D16" s="81"/>
      <c r="E16" s="81">
        <f>+'1. melléklet'!D53</f>
        <v>77311200</v>
      </c>
      <c r="F16" s="81"/>
      <c r="G16" s="101">
        <f t="shared" si="4"/>
        <v>77311200</v>
      </c>
      <c r="H16" s="81"/>
      <c r="I16" s="81"/>
      <c r="J16" s="81"/>
      <c r="K16" s="101">
        <f t="shared" si="5"/>
        <v>0</v>
      </c>
    </row>
    <row r="17" spans="1:11" x14ac:dyDescent="0.25">
      <c r="A17" s="13" t="s">
        <v>26</v>
      </c>
      <c r="B17" s="113" t="s">
        <v>195</v>
      </c>
      <c r="C17" s="63" t="s">
        <v>562</v>
      </c>
      <c r="D17" s="81"/>
      <c r="E17" s="81">
        <f>+'1. melléklet'!D65</f>
        <v>10740000</v>
      </c>
      <c r="F17" s="81"/>
      <c r="G17" s="101">
        <f t="shared" si="4"/>
        <v>10740000</v>
      </c>
      <c r="H17" s="81"/>
      <c r="I17" s="81"/>
      <c r="J17" s="81"/>
      <c r="K17" s="101">
        <f t="shared" si="5"/>
        <v>0</v>
      </c>
    </row>
    <row r="18" spans="1:11" x14ac:dyDescent="0.25">
      <c r="A18" s="13" t="s">
        <v>27</v>
      </c>
      <c r="B18" s="63"/>
      <c r="C18" s="64" t="s">
        <v>652</v>
      </c>
      <c r="D18" s="96">
        <f>SUM(D15:D17)</f>
        <v>0</v>
      </c>
      <c r="E18" s="96">
        <f t="shared" ref="E18:J18" si="6">SUM(E15:E17)</f>
        <v>608096933</v>
      </c>
      <c r="F18" s="96">
        <f t="shared" si="6"/>
        <v>0</v>
      </c>
      <c r="G18" s="82">
        <f t="shared" si="6"/>
        <v>608096933</v>
      </c>
      <c r="H18" s="96">
        <f t="shared" si="6"/>
        <v>0</v>
      </c>
      <c r="I18" s="96">
        <f t="shared" si="6"/>
        <v>0</v>
      </c>
      <c r="J18" s="96">
        <f t="shared" si="6"/>
        <v>0</v>
      </c>
      <c r="K18" s="82">
        <f t="shared" ref="K18" si="7">SUM(K15:K17)</f>
        <v>0</v>
      </c>
    </row>
    <row r="19" spans="1:11" x14ac:dyDescent="0.25">
      <c r="A19" s="13" t="s">
        <v>28</v>
      </c>
      <c r="B19" s="138" t="s">
        <v>653</v>
      </c>
      <c r="C19" s="139"/>
      <c r="D19" s="96">
        <f>+D13+D18</f>
        <v>0</v>
      </c>
      <c r="E19" s="96">
        <f t="shared" ref="E19:J19" si="8">+E13+E18</f>
        <v>1420433206</v>
      </c>
      <c r="F19" s="96">
        <f t="shared" si="8"/>
        <v>500000</v>
      </c>
      <c r="G19" s="82">
        <f t="shared" si="8"/>
        <v>1420933206</v>
      </c>
      <c r="H19" s="96">
        <f t="shared" si="8"/>
        <v>0</v>
      </c>
      <c r="I19" s="96">
        <f t="shared" si="8"/>
        <v>0</v>
      </c>
      <c r="J19" s="96">
        <f t="shared" si="8"/>
        <v>0</v>
      </c>
      <c r="K19" s="82">
        <f t="shared" ref="K19" si="9">+K13+K18</f>
        <v>0</v>
      </c>
    </row>
    <row r="20" spans="1:11" x14ac:dyDescent="0.25">
      <c r="A20" s="13" t="s">
        <v>29</v>
      </c>
      <c r="B20" s="130" t="s">
        <v>56</v>
      </c>
      <c r="C20" s="131"/>
      <c r="D20" s="96"/>
      <c r="E20" s="96"/>
      <c r="F20" s="96"/>
      <c r="G20" s="82"/>
      <c r="H20" s="96"/>
      <c r="I20" s="96"/>
      <c r="J20" s="96"/>
      <c r="K20" s="82"/>
    </row>
    <row r="21" spans="1:11" x14ac:dyDescent="0.25">
      <c r="A21" s="13" t="s">
        <v>30</v>
      </c>
      <c r="B21" s="63"/>
      <c r="C21" s="63" t="s">
        <v>628</v>
      </c>
      <c r="D21" s="81"/>
      <c r="E21" s="81">
        <f>+'1. melléklet'!D76</f>
        <v>0</v>
      </c>
      <c r="F21" s="81"/>
      <c r="G21" s="101">
        <f t="shared" ref="G21:G26" si="10">+D21+E21+F21</f>
        <v>0</v>
      </c>
      <c r="H21" s="81"/>
      <c r="I21" s="81"/>
      <c r="J21" s="81"/>
      <c r="K21" s="101">
        <f t="shared" ref="K21:K26" si="11">+H21+I21+J21</f>
        <v>0</v>
      </c>
    </row>
    <row r="22" spans="1:11" x14ac:dyDescent="0.25">
      <c r="A22" s="13" t="s">
        <v>31</v>
      </c>
      <c r="B22" s="63"/>
      <c r="C22" s="63" t="s">
        <v>629</v>
      </c>
      <c r="D22" s="81"/>
      <c r="E22" s="81"/>
      <c r="F22" s="81">
        <f>+'1. melléklet'!D81</f>
        <v>67067368</v>
      </c>
      <c r="G22" s="101">
        <f t="shared" si="10"/>
        <v>67067368</v>
      </c>
      <c r="H22" s="81"/>
      <c r="I22" s="81"/>
      <c r="J22" s="81"/>
      <c r="K22" s="101">
        <f t="shared" si="11"/>
        <v>0</v>
      </c>
    </row>
    <row r="23" spans="1:11" x14ac:dyDescent="0.25">
      <c r="A23" s="13" t="s">
        <v>32</v>
      </c>
      <c r="B23" s="63"/>
      <c r="C23" s="63" t="s">
        <v>630</v>
      </c>
      <c r="D23" s="81"/>
      <c r="E23" s="81">
        <f>+'1. melléklet'!D84</f>
        <v>250792042</v>
      </c>
      <c r="F23" s="81"/>
      <c r="G23" s="101">
        <f t="shared" si="10"/>
        <v>250792042</v>
      </c>
      <c r="H23" s="81"/>
      <c r="I23" s="81"/>
      <c r="J23" s="81"/>
      <c r="K23" s="101">
        <f t="shared" si="11"/>
        <v>0</v>
      </c>
    </row>
    <row r="24" spans="1:11" ht="15" customHeight="1" x14ac:dyDescent="0.25">
      <c r="A24" s="13" t="s">
        <v>33</v>
      </c>
      <c r="B24" s="63"/>
      <c r="C24" s="63" t="s">
        <v>631</v>
      </c>
      <c r="D24" s="81"/>
      <c r="E24" s="81">
        <f>+'1. melléklet'!D85+'1. melléklet'!D86</f>
        <v>20065423</v>
      </c>
      <c r="F24" s="81"/>
      <c r="G24" s="101">
        <f t="shared" si="10"/>
        <v>20065423</v>
      </c>
      <c r="H24" s="81"/>
      <c r="I24" s="81"/>
      <c r="J24" s="81"/>
      <c r="K24" s="101">
        <f t="shared" si="11"/>
        <v>0</v>
      </c>
    </row>
    <row r="25" spans="1:11" x14ac:dyDescent="0.25">
      <c r="A25" s="13" t="s">
        <v>34</v>
      </c>
      <c r="B25" s="63"/>
      <c r="C25" s="63" t="s">
        <v>632</v>
      </c>
      <c r="D25" s="81"/>
      <c r="E25" s="81">
        <f>+'1. melléklet'!D87</f>
        <v>0</v>
      </c>
      <c r="F25" s="81"/>
      <c r="G25" s="101">
        <f t="shared" si="10"/>
        <v>0</v>
      </c>
      <c r="H25" s="81"/>
      <c r="I25" s="81"/>
      <c r="J25" s="81"/>
      <c r="K25" s="101">
        <f t="shared" si="11"/>
        <v>0</v>
      </c>
    </row>
    <row r="26" spans="1:11" x14ac:dyDescent="0.25">
      <c r="A26" s="13" t="s">
        <v>35</v>
      </c>
      <c r="B26" s="63"/>
      <c r="C26" s="63" t="s">
        <v>633</v>
      </c>
      <c r="D26" s="81"/>
      <c r="E26" s="81">
        <f>+'1. melléklet'!D88</f>
        <v>0</v>
      </c>
      <c r="F26" s="81"/>
      <c r="G26" s="101">
        <f t="shared" si="10"/>
        <v>0</v>
      </c>
      <c r="H26" s="81"/>
      <c r="I26" s="81"/>
      <c r="J26" s="81"/>
      <c r="K26" s="101">
        <f t="shared" si="11"/>
        <v>0</v>
      </c>
    </row>
    <row r="27" spans="1:11" x14ac:dyDescent="0.25">
      <c r="A27" s="13" t="s">
        <v>36</v>
      </c>
      <c r="B27" s="140" t="s">
        <v>654</v>
      </c>
      <c r="C27" s="141"/>
      <c r="D27" s="96">
        <f>SUM(D21:D26)</f>
        <v>0</v>
      </c>
      <c r="E27" s="96">
        <f t="shared" ref="E27:J27" si="12">SUM(E21:E26)</f>
        <v>270857465</v>
      </c>
      <c r="F27" s="96">
        <f t="shared" si="12"/>
        <v>67067368</v>
      </c>
      <c r="G27" s="82">
        <f t="shared" si="12"/>
        <v>337924833</v>
      </c>
      <c r="H27" s="96">
        <f t="shared" si="12"/>
        <v>0</v>
      </c>
      <c r="I27" s="96">
        <f t="shared" si="12"/>
        <v>0</v>
      </c>
      <c r="J27" s="96">
        <f t="shared" si="12"/>
        <v>0</v>
      </c>
      <c r="K27" s="82">
        <f t="shared" ref="K27" si="13">SUM(K21:K26)</f>
        <v>0</v>
      </c>
    </row>
    <row r="28" spans="1:11" x14ac:dyDescent="0.25">
      <c r="A28" s="13" t="s">
        <v>37</v>
      </c>
      <c r="B28" s="142" t="s">
        <v>655</v>
      </c>
      <c r="C28" s="143"/>
      <c r="D28" s="89">
        <f>+D19+D27</f>
        <v>0</v>
      </c>
      <c r="E28" s="89">
        <f t="shared" ref="E28:J28" si="14">+E19+E27</f>
        <v>1691290671</v>
      </c>
      <c r="F28" s="89">
        <f t="shared" si="14"/>
        <v>67567368</v>
      </c>
      <c r="G28" s="89">
        <f t="shared" si="14"/>
        <v>1758858039</v>
      </c>
      <c r="H28" s="89">
        <f t="shared" si="14"/>
        <v>0</v>
      </c>
      <c r="I28" s="89">
        <f t="shared" si="14"/>
        <v>0</v>
      </c>
      <c r="J28" s="89">
        <f t="shared" si="14"/>
        <v>0</v>
      </c>
      <c r="K28" s="89">
        <f t="shared" ref="K28" si="15">+K19+K27</f>
        <v>0</v>
      </c>
    </row>
    <row r="29" spans="1:11" ht="16.5" customHeight="1" x14ac:dyDescent="0.25"/>
    <row r="30" spans="1:11" ht="45.75" customHeight="1" x14ac:dyDescent="0.25">
      <c r="A30" s="115" t="s">
        <v>0</v>
      </c>
      <c r="B30" s="134" t="s">
        <v>615</v>
      </c>
      <c r="C30" s="135"/>
      <c r="D30" s="167" t="s">
        <v>16</v>
      </c>
      <c r="E30" s="168"/>
      <c r="F30" s="169"/>
      <c r="G30" s="170"/>
      <c r="H30" s="167" t="s">
        <v>16</v>
      </c>
      <c r="I30" s="168"/>
      <c r="J30" s="169"/>
      <c r="K30" s="170"/>
    </row>
    <row r="31" spans="1:11" ht="30" customHeight="1" x14ac:dyDescent="0.25">
      <c r="A31" s="115"/>
      <c r="B31" s="165"/>
      <c r="C31" s="166"/>
      <c r="D31" s="34" t="s">
        <v>608</v>
      </c>
      <c r="E31" s="34" t="s">
        <v>606</v>
      </c>
      <c r="F31" s="34" t="s">
        <v>607</v>
      </c>
      <c r="G31" s="34" t="s">
        <v>505</v>
      </c>
      <c r="H31" s="34" t="s">
        <v>608</v>
      </c>
      <c r="I31" s="34" t="s">
        <v>606</v>
      </c>
      <c r="J31" s="34" t="s">
        <v>607</v>
      </c>
      <c r="K31" s="34" t="s">
        <v>505</v>
      </c>
    </row>
    <row r="32" spans="1:11" ht="15" customHeight="1" x14ac:dyDescent="0.25">
      <c r="A32" s="115"/>
      <c r="B32" s="136"/>
      <c r="C32" s="137"/>
      <c r="D32" s="144" t="s">
        <v>609</v>
      </c>
      <c r="E32" s="162"/>
      <c r="F32" s="163"/>
      <c r="G32" s="164"/>
      <c r="H32" s="144" t="s">
        <v>610</v>
      </c>
      <c r="I32" s="156"/>
      <c r="J32" s="145"/>
      <c r="K32" s="146"/>
    </row>
    <row r="33" spans="1:11" ht="16.5" customHeight="1" x14ac:dyDescent="0.25">
      <c r="A33" s="13" t="s">
        <v>38</v>
      </c>
      <c r="B33" s="132" t="s">
        <v>636</v>
      </c>
      <c r="C33" s="133"/>
      <c r="D33" s="96"/>
      <c r="E33" s="96"/>
      <c r="F33" s="96"/>
      <c r="G33" s="96"/>
      <c r="H33" s="96"/>
      <c r="I33" s="96"/>
      <c r="J33" s="96"/>
      <c r="K33" s="96"/>
    </row>
    <row r="34" spans="1:11" ht="16.5" customHeight="1" x14ac:dyDescent="0.25">
      <c r="A34" s="13" t="s">
        <v>39</v>
      </c>
      <c r="B34" s="7"/>
      <c r="C34" s="7" t="s">
        <v>49</v>
      </c>
      <c r="D34" s="81"/>
      <c r="E34" s="81">
        <f>+'2. melléklet'!D28</f>
        <v>162400000</v>
      </c>
      <c r="F34" s="81"/>
      <c r="G34" s="81">
        <f t="shared" ref="G34:G38" si="16">+D34+E34+F34</f>
        <v>162400000</v>
      </c>
      <c r="H34" s="81"/>
      <c r="I34" s="81"/>
      <c r="J34" s="81"/>
      <c r="K34" s="81">
        <f t="shared" ref="K34:K38" si="17">+H34+I34+J34</f>
        <v>0</v>
      </c>
    </row>
    <row r="35" spans="1:11" ht="16.5" customHeight="1" x14ac:dyDescent="0.25">
      <c r="A35" s="13" t="s">
        <v>40</v>
      </c>
      <c r="B35" s="7"/>
      <c r="C35" s="7" t="s">
        <v>50</v>
      </c>
      <c r="D35" s="81"/>
      <c r="E35" s="81">
        <f>+'2. melléklet'!D29</f>
        <v>22945000</v>
      </c>
      <c r="F35" s="81"/>
      <c r="G35" s="81">
        <f t="shared" si="16"/>
        <v>22945000</v>
      </c>
      <c r="H35" s="81"/>
      <c r="I35" s="81"/>
      <c r="J35" s="81"/>
      <c r="K35" s="81">
        <f t="shared" si="17"/>
        <v>0</v>
      </c>
    </row>
    <row r="36" spans="1:11" ht="16.5" customHeight="1" x14ac:dyDescent="0.25">
      <c r="A36" s="13" t="s">
        <v>41</v>
      </c>
      <c r="B36" s="7"/>
      <c r="C36" s="7" t="s">
        <v>637</v>
      </c>
      <c r="D36" s="81"/>
      <c r="E36" s="81">
        <f>+'2. melléklet'!D56</f>
        <v>267687804</v>
      </c>
      <c r="F36" s="81"/>
      <c r="G36" s="81">
        <f t="shared" si="16"/>
        <v>267687804</v>
      </c>
      <c r="H36" s="81"/>
      <c r="I36" s="81"/>
      <c r="J36" s="81"/>
      <c r="K36" s="81">
        <f t="shared" si="17"/>
        <v>0</v>
      </c>
    </row>
    <row r="37" spans="1:11" ht="16.5" customHeight="1" x14ac:dyDescent="0.25">
      <c r="A37" s="13" t="s">
        <v>42</v>
      </c>
      <c r="B37" s="7"/>
      <c r="C37" s="7" t="s">
        <v>51</v>
      </c>
      <c r="D37" s="81"/>
      <c r="E37" s="81"/>
      <c r="F37" s="81">
        <f>+'2. melléklet'!D59</f>
        <v>4200000</v>
      </c>
      <c r="G37" s="81">
        <f t="shared" si="16"/>
        <v>4200000</v>
      </c>
      <c r="H37" s="81"/>
      <c r="I37" s="81"/>
      <c r="J37" s="81"/>
      <c r="K37" s="81">
        <f t="shared" si="17"/>
        <v>0</v>
      </c>
    </row>
    <row r="38" spans="1:11" ht="16.5" customHeight="1" x14ac:dyDescent="0.25">
      <c r="A38" s="13" t="s">
        <v>60</v>
      </c>
      <c r="B38" s="7"/>
      <c r="C38" s="7" t="s">
        <v>613</v>
      </c>
      <c r="D38" s="81"/>
      <c r="E38" s="81">
        <f>+'2. melléklet'!D74-3610000</f>
        <v>22715106</v>
      </c>
      <c r="F38" s="81">
        <v>3610000</v>
      </c>
      <c r="G38" s="81">
        <f t="shared" si="16"/>
        <v>26325106</v>
      </c>
      <c r="H38" s="81"/>
      <c r="I38" s="81"/>
      <c r="J38" s="81"/>
      <c r="K38" s="81">
        <f t="shared" si="17"/>
        <v>0</v>
      </c>
    </row>
    <row r="39" spans="1:11" ht="16.5" customHeight="1" x14ac:dyDescent="0.25">
      <c r="A39" s="13" t="s">
        <v>61</v>
      </c>
      <c r="B39" s="7"/>
      <c r="C39" s="43" t="s">
        <v>656</v>
      </c>
      <c r="D39" s="96">
        <f>SUM(D34:D38)</f>
        <v>0</v>
      </c>
      <c r="E39" s="96">
        <f t="shared" ref="E39:J39" si="18">SUM(E34:E38)</f>
        <v>475747910</v>
      </c>
      <c r="F39" s="96">
        <f t="shared" si="18"/>
        <v>7810000</v>
      </c>
      <c r="G39" s="96">
        <f t="shared" si="18"/>
        <v>483557910</v>
      </c>
      <c r="H39" s="96">
        <f t="shared" si="18"/>
        <v>0</v>
      </c>
      <c r="I39" s="96">
        <f t="shared" si="18"/>
        <v>0</v>
      </c>
      <c r="J39" s="96">
        <f t="shared" si="18"/>
        <v>0</v>
      </c>
      <c r="K39" s="96">
        <f t="shared" ref="K39" si="19">SUM(K34:K38)</f>
        <v>0</v>
      </c>
    </row>
    <row r="40" spans="1:11" ht="16.5" customHeight="1" x14ac:dyDescent="0.25">
      <c r="A40" s="13" t="s">
        <v>62</v>
      </c>
      <c r="B40" s="132" t="s">
        <v>639</v>
      </c>
      <c r="C40" s="132"/>
      <c r="D40" s="96"/>
      <c r="E40" s="96"/>
      <c r="F40" s="96"/>
      <c r="G40" s="96"/>
      <c r="H40" s="96"/>
      <c r="I40" s="96"/>
      <c r="J40" s="96"/>
      <c r="K40" s="96"/>
    </row>
    <row r="41" spans="1:11" ht="16.5" customHeight="1" x14ac:dyDescent="0.25">
      <c r="A41" s="13" t="s">
        <v>63</v>
      </c>
      <c r="B41" s="7"/>
      <c r="C41" s="7" t="s">
        <v>540</v>
      </c>
      <c r="D41" s="81"/>
      <c r="E41" s="81">
        <f>+'2. melléklet'!D80</f>
        <v>508538602</v>
      </c>
      <c r="F41" s="81"/>
      <c r="G41" s="81">
        <f t="shared" ref="G41:G43" si="20">+D41+E41+F41</f>
        <v>508538602</v>
      </c>
      <c r="H41" s="81"/>
      <c r="I41" s="81"/>
      <c r="J41" s="81"/>
      <c r="K41" s="81">
        <f t="shared" ref="K41:K43" si="21">+H41+I41+J41</f>
        <v>0</v>
      </c>
    </row>
    <row r="42" spans="1:11" ht="16.5" customHeight="1" x14ac:dyDescent="0.25">
      <c r="A42" s="13" t="s">
        <v>64</v>
      </c>
      <c r="B42" s="7"/>
      <c r="C42" s="7" t="s">
        <v>541</v>
      </c>
      <c r="D42" s="81"/>
      <c r="E42" s="81">
        <f>+'2. melléklet'!D85</f>
        <v>182000000</v>
      </c>
      <c r="F42" s="81"/>
      <c r="G42" s="81">
        <f t="shared" si="20"/>
        <v>182000000</v>
      </c>
      <c r="H42" s="81"/>
      <c r="I42" s="81"/>
      <c r="J42" s="81"/>
      <c r="K42" s="81">
        <f t="shared" si="21"/>
        <v>0</v>
      </c>
    </row>
    <row r="43" spans="1:11" ht="16.5" customHeight="1" x14ac:dyDescent="0.25">
      <c r="A43" s="13" t="s">
        <v>65</v>
      </c>
      <c r="B43" s="7"/>
      <c r="C43" s="7" t="s">
        <v>640</v>
      </c>
      <c r="D43" s="81"/>
      <c r="E43" s="81">
        <f>+'2. melléklet'!D93</f>
        <v>0</v>
      </c>
      <c r="F43" s="81"/>
      <c r="G43" s="81">
        <f t="shared" si="20"/>
        <v>0</v>
      </c>
      <c r="H43" s="81"/>
      <c r="I43" s="81"/>
      <c r="J43" s="81"/>
      <c r="K43" s="81">
        <f t="shared" si="21"/>
        <v>0</v>
      </c>
    </row>
    <row r="44" spans="1:11" ht="16.5" customHeight="1" x14ac:dyDescent="0.25">
      <c r="A44" s="13" t="s">
        <v>66</v>
      </c>
      <c r="B44" s="7"/>
      <c r="C44" s="43" t="s">
        <v>657</v>
      </c>
      <c r="D44" s="96">
        <f>SUM(D41:D43)</f>
        <v>0</v>
      </c>
      <c r="E44" s="96">
        <f t="shared" ref="E44:J44" si="22">SUM(E41:E43)</f>
        <v>690538602</v>
      </c>
      <c r="F44" s="96">
        <f t="shared" si="22"/>
        <v>0</v>
      </c>
      <c r="G44" s="96">
        <f>SUM(G41:G43)</f>
        <v>690538602</v>
      </c>
      <c r="H44" s="96">
        <f t="shared" si="22"/>
        <v>0</v>
      </c>
      <c r="I44" s="96">
        <f t="shared" si="22"/>
        <v>0</v>
      </c>
      <c r="J44" s="96">
        <f t="shared" si="22"/>
        <v>0</v>
      </c>
      <c r="K44" s="96">
        <f t="shared" ref="K44" si="23">SUM(K41:K43)</f>
        <v>0</v>
      </c>
    </row>
    <row r="45" spans="1:11" ht="16.5" customHeight="1" x14ac:dyDescent="0.25">
      <c r="A45" s="13" t="s">
        <v>240</v>
      </c>
      <c r="B45" s="132" t="s">
        <v>658</v>
      </c>
      <c r="C45" s="132"/>
      <c r="D45" s="96">
        <f>+D39+D44</f>
        <v>0</v>
      </c>
      <c r="E45" s="96">
        <f t="shared" ref="E45:J45" si="24">+E39+E44</f>
        <v>1166286512</v>
      </c>
      <c r="F45" s="96">
        <f t="shared" si="24"/>
        <v>7810000</v>
      </c>
      <c r="G45" s="96">
        <f t="shared" si="24"/>
        <v>1174096512</v>
      </c>
      <c r="H45" s="96">
        <f t="shared" si="24"/>
        <v>0</v>
      </c>
      <c r="I45" s="96">
        <f t="shared" si="24"/>
        <v>0</v>
      </c>
      <c r="J45" s="96">
        <f t="shared" si="24"/>
        <v>0</v>
      </c>
      <c r="K45" s="96">
        <f t="shared" ref="K45" si="25">+K39+K44</f>
        <v>0</v>
      </c>
    </row>
    <row r="46" spans="1:11" ht="16.5" customHeight="1" x14ac:dyDescent="0.25">
      <c r="A46" s="13" t="s">
        <v>67</v>
      </c>
      <c r="B46" s="132" t="s">
        <v>55</v>
      </c>
      <c r="C46" s="133"/>
      <c r="D46" s="96"/>
      <c r="E46" s="96"/>
      <c r="F46" s="96"/>
      <c r="G46" s="96"/>
      <c r="H46" s="96"/>
      <c r="I46" s="96"/>
      <c r="J46" s="96"/>
      <c r="K46" s="96"/>
    </row>
    <row r="47" spans="1:11" ht="16.5" customHeight="1" x14ac:dyDescent="0.25">
      <c r="A47" s="13" t="s">
        <v>68</v>
      </c>
      <c r="B47" s="7"/>
      <c r="C47" s="7" t="s">
        <v>643</v>
      </c>
      <c r="D47" s="81"/>
      <c r="E47" s="81"/>
      <c r="F47" s="81">
        <f>+'2. melléklet'!D111</f>
        <v>0</v>
      </c>
      <c r="G47" s="81">
        <f t="shared" ref="G47:G50" si="26">+D47+E47+F47</f>
        <v>0</v>
      </c>
      <c r="H47" s="81"/>
      <c r="I47" s="81"/>
      <c r="J47" s="81"/>
      <c r="K47" s="81">
        <f t="shared" ref="K47:K50" si="27">+H47+I47+J47</f>
        <v>0</v>
      </c>
    </row>
    <row r="48" spans="1:11" ht="16.5" customHeight="1" x14ac:dyDescent="0.25">
      <c r="A48" s="13" t="s">
        <v>241</v>
      </c>
      <c r="B48" s="7"/>
      <c r="C48" s="7" t="s">
        <v>452</v>
      </c>
      <c r="D48" s="81"/>
      <c r="E48" s="81">
        <f>+'2. melléklet'!D112+'2. melléklet'!D113</f>
        <v>20065423</v>
      </c>
      <c r="F48" s="81"/>
      <c r="G48" s="81">
        <f t="shared" si="26"/>
        <v>20065423</v>
      </c>
      <c r="H48" s="81"/>
      <c r="I48" s="81"/>
      <c r="J48" s="81"/>
      <c r="K48" s="81">
        <f t="shared" si="27"/>
        <v>0</v>
      </c>
    </row>
    <row r="49" spans="1:11" ht="16.5" customHeight="1" x14ac:dyDescent="0.25">
      <c r="A49" s="13" t="s">
        <v>69</v>
      </c>
      <c r="B49" s="7"/>
      <c r="C49" s="7" t="s">
        <v>644</v>
      </c>
      <c r="D49" s="81">
        <f>+D77</f>
        <v>161723164</v>
      </c>
      <c r="E49" s="81">
        <f>+E129</f>
        <v>402972940</v>
      </c>
      <c r="F49" s="81"/>
      <c r="G49" s="81">
        <f t="shared" si="26"/>
        <v>564696104</v>
      </c>
      <c r="H49" s="81"/>
      <c r="I49" s="81"/>
      <c r="J49" s="81"/>
      <c r="K49" s="81">
        <f t="shared" si="27"/>
        <v>0</v>
      </c>
    </row>
    <row r="50" spans="1:11" ht="16.5" customHeight="1" x14ac:dyDescent="0.25">
      <c r="A50" s="13" t="s">
        <v>70</v>
      </c>
      <c r="B50" s="7"/>
      <c r="C50" s="7" t="s">
        <v>645</v>
      </c>
      <c r="D50" s="81"/>
      <c r="E50" s="81">
        <f>+'2. melléklet'!D115</f>
        <v>0</v>
      </c>
      <c r="F50" s="81"/>
      <c r="G50" s="81">
        <f t="shared" si="26"/>
        <v>0</v>
      </c>
      <c r="H50" s="81"/>
      <c r="I50" s="81"/>
      <c r="J50" s="81"/>
      <c r="K50" s="81">
        <f t="shared" si="27"/>
        <v>0</v>
      </c>
    </row>
    <row r="51" spans="1:11" ht="16.5" customHeight="1" x14ac:dyDescent="0.25">
      <c r="A51" s="13" t="s">
        <v>71</v>
      </c>
      <c r="B51" s="159" t="s">
        <v>659</v>
      </c>
      <c r="C51" s="149"/>
      <c r="D51" s="96">
        <f>SUM(D47:D50)</f>
        <v>161723164</v>
      </c>
      <c r="E51" s="96">
        <f t="shared" ref="E51:J51" si="28">SUM(E47:E50)</f>
        <v>423038363</v>
      </c>
      <c r="F51" s="96">
        <f t="shared" si="28"/>
        <v>0</v>
      </c>
      <c r="G51" s="96">
        <f t="shared" si="28"/>
        <v>584761527</v>
      </c>
      <c r="H51" s="96">
        <f t="shared" si="28"/>
        <v>0</v>
      </c>
      <c r="I51" s="96">
        <f t="shared" si="28"/>
        <v>0</v>
      </c>
      <c r="J51" s="96">
        <f t="shared" si="28"/>
        <v>0</v>
      </c>
      <c r="K51" s="96">
        <f t="shared" ref="K51" si="29">SUM(K47:K50)</f>
        <v>0</v>
      </c>
    </row>
    <row r="52" spans="1:11" ht="16.5" customHeight="1" x14ac:dyDescent="0.25">
      <c r="A52" s="13" t="s">
        <v>72</v>
      </c>
      <c r="B52" s="153" t="s">
        <v>660</v>
      </c>
      <c r="C52" s="154"/>
      <c r="D52" s="97">
        <f>+D45+D51</f>
        <v>161723164</v>
      </c>
      <c r="E52" s="97">
        <f t="shared" ref="E52:J52" si="30">+E45+E51</f>
        <v>1589324875</v>
      </c>
      <c r="F52" s="97">
        <f t="shared" si="30"/>
        <v>7810000</v>
      </c>
      <c r="G52" s="97">
        <f t="shared" si="30"/>
        <v>1758858039</v>
      </c>
      <c r="H52" s="97">
        <f t="shared" si="30"/>
        <v>0</v>
      </c>
      <c r="I52" s="97">
        <f t="shared" si="30"/>
        <v>0</v>
      </c>
      <c r="J52" s="97">
        <f t="shared" si="30"/>
        <v>0</v>
      </c>
      <c r="K52" s="97">
        <f t="shared" ref="K52" si="31">+K45+K51</f>
        <v>0</v>
      </c>
    </row>
    <row r="53" spans="1:11" ht="16.5" customHeight="1" x14ac:dyDescent="0.25">
      <c r="A53" s="13" t="s">
        <v>73</v>
      </c>
      <c r="B53" s="61"/>
      <c r="C53" s="60"/>
      <c r="D53" s="81"/>
      <c r="E53" s="81"/>
      <c r="F53" s="81"/>
      <c r="G53" s="81"/>
      <c r="H53" s="81"/>
      <c r="I53" s="81"/>
      <c r="J53" s="81"/>
      <c r="K53" s="81"/>
    </row>
    <row r="54" spans="1:11" ht="16.5" customHeight="1" x14ac:dyDescent="0.25">
      <c r="A54" s="13" t="s">
        <v>74</v>
      </c>
      <c r="B54" s="155" t="s">
        <v>648</v>
      </c>
      <c r="C54" s="149"/>
      <c r="D54" s="89">
        <f>+D28-D52</f>
        <v>-161723164</v>
      </c>
      <c r="E54" s="89">
        <f t="shared" ref="E54:J54" si="32">+E28-E52</f>
        <v>101965796</v>
      </c>
      <c r="F54" s="89">
        <f t="shared" si="32"/>
        <v>59757368</v>
      </c>
      <c r="G54" s="89">
        <f t="shared" si="32"/>
        <v>0</v>
      </c>
      <c r="H54" s="89">
        <f t="shared" si="32"/>
        <v>0</v>
      </c>
      <c r="I54" s="89">
        <f t="shared" si="32"/>
        <v>0</v>
      </c>
      <c r="J54" s="89">
        <f t="shared" si="32"/>
        <v>0</v>
      </c>
      <c r="K54" s="89">
        <f t="shared" ref="K54" si="33">+K28-K52</f>
        <v>0</v>
      </c>
    </row>
    <row r="57" spans="1:11" ht="45.75" customHeight="1" x14ac:dyDescent="0.25">
      <c r="A57" s="115" t="s">
        <v>0</v>
      </c>
      <c r="B57" s="134" t="s">
        <v>614</v>
      </c>
      <c r="C57" s="135"/>
      <c r="D57" s="167" t="s">
        <v>15</v>
      </c>
      <c r="E57" s="168"/>
      <c r="F57" s="169"/>
      <c r="G57" s="170"/>
      <c r="H57" s="167" t="s">
        <v>15</v>
      </c>
      <c r="I57" s="168"/>
      <c r="J57" s="169"/>
      <c r="K57" s="170"/>
    </row>
    <row r="58" spans="1:11" ht="30" customHeight="1" x14ac:dyDescent="0.25">
      <c r="A58" s="115"/>
      <c r="B58" s="165"/>
      <c r="C58" s="166"/>
      <c r="D58" s="34" t="s">
        <v>608</v>
      </c>
      <c r="E58" s="34" t="s">
        <v>606</v>
      </c>
      <c r="F58" s="34" t="s">
        <v>607</v>
      </c>
      <c r="G58" s="34" t="s">
        <v>505</v>
      </c>
      <c r="H58" s="34" t="s">
        <v>608</v>
      </c>
      <c r="I58" s="34" t="s">
        <v>606</v>
      </c>
      <c r="J58" s="34" t="s">
        <v>607</v>
      </c>
      <c r="K58" s="34" t="s">
        <v>505</v>
      </c>
    </row>
    <row r="59" spans="1:11" ht="15" customHeight="1" x14ac:dyDescent="0.25">
      <c r="A59" s="115"/>
      <c r="B59" s="136"/>
      <c r="C59" s="137"/>
      <c r="D59" s="144" t="s">
        <v>609</v>
      </c>
      <c r="E59" s="162"/>
      <c r="F59" s="163"/>
      <c r="G59" s="164"/>
      <c r="H59" s="144" t="s">
        <v>610</v>
      </c>
      <c r="I59" s="156"/>
      <c r="J59" s="145"/>
      <c r="K59" s="146"/>
    </row>
    <row r="60" spans="1:11" ht="15" customHeight="1" x14ac:dyDescent="0.25">
      <c r="A60" s="13" t="s">
        <v>17</v>
      </c>
      <c r="B60" s="138" t="s">
        <v>623</v>
      </c>
      <c r="C60" s="139"/>
      <c r="D60" s="96"/>
      <c r="E60" s="96"/>
      <c r="F60" s="96"/>
      <c r="G60" s="96"/>
      <c r="H60" s="96"/>
      <c r="I60" s="96"/>
      <c r="J60" s="96"/>
      <c r="K60" s="96"/>
    </row>
    <row r="61" spans="1:11" ht="15.75" customHeight="1" x14ac:dyDescent="0.25">
      <c r="A61" s="13" t="s">
        <v>18</v>
      </c>
      <c r="B61" s="113" t="s">
        <v>559</v>
      </c>
      <c r="C61" s="63" t="s">
        <v>522</v>
      </c>
      <c r="D61" s="81"/>
      <c r="E61" s="81"/>
      <c r="F61" s="81"/>
      <c r="G61" s="81">
        <f>+D61+E61+F61</f>
        <v>0</v>
      </c>
      <c r="H61" s="81"/>
      <c r="I61" s="81"/>
      <c r="J61" s="81"/>
      <c r="K61" s="81"/>
    </row>
    <row r="62" spans="1:11" x14ac:dyDescent="0.25">
      <c r="A62" s="13" t="s">
        <v>19</v>
      </c>
      <c r="B62" s="113" t="s">
        <v>169</v>
      </c>
      <c r="C62" s="63" t="s">
        <v>47</v>
      </c>
      <c r="D62" s="81"/>
      <c r="E62" s="81"/>
      <c r="F62" s="81"/>
      <c r="G62" s="81">
        <f t="shared" ref="G62:G64" si="34">+D62+E62+F62</f>
        <v>0</v>
      </c>
      <c r="H62" s="81"/>
      <c r="I62" s="81"/>
      <c r="J62" s="81"/>
      <c r="K62" s="81"/>
    </row>
    <row r="63" spans="1:11" x14ac:dyDescent="0.25">
      <c r="A63" s="13" t="s">
        <v>20</v>
      </c>
      <c r="B63" s="113" t="s">
        <v>170</v>
      </c>
      <c r="C63" s="63" t="s">
        <v>44</v>
      </c>
      <c r="D63" s="81">
        <f>+'1. melléklet'!F47</f>
        <v>140200</v>
      </c>
      <c r="E63" s="81"/>
      <c r="F63" s="81"/>
      <c r="G63" s="81">
        <f t="shared" si="34"/>
        <v>140200</v>
      </c>
      <c r="H63" s="81"/>
      <c r="I63" s="81"/>
      <c r="J63" s="81"/>
      <c r="K63" s="81"/>
    </row>
    <row r="64" spans="1:11" x14ac:dyDescent="0.25">
      <c r="A64" s="13" t="s">
        <v>21</v>
      </c>
      <c r="B64" s="113" t="s">
        <v>189</v>
      </c>
      <c r="C64" s="63" t="s">
        <v>46</v>
      </c>
      <c r="D64" s="81"/>
      <c r="E64" s="81"/>
      <c r="F64" s="81"/>
      <c r="G64" s="81">
        <f t="shared" si="34"/>
        <v>0</v>
      </c>
      <c r="H64" s="81"/>
      <c r="I64" s="81"/>
      <c r="J64" s="81"/>
      <c r="K64" s="81"/>
    </row>
    <row r="65" spans="1:11" x14ac:dyDescent="0.25">
      <c r="A65" s="13" t="s">
        <v>22</v>
      </c>
      <c r="B65" s="63"/>
      <c r="C65" s="64" t="s">
        <v>651</v>
      </c>
      <c r="D65" s="96">
        <f>SUM(D59:D64)</f>
        <v>140200</v>
      </c>
      <c r="E65" s="96">
        <f t="shared" ref="E65:K65" si="35">SUM(E59:E64)</f>
        <v>0</v>
      </c>
      <c r="F65" s="96">
        <f t="shared" si="35"/>
        <v>0</v>
      </c>
      <c r="G65" s="96">
        <f t="shared" si="35"/>
        <v>140200</v>
      </c>
      <c r="H65" s="96">
        <f t="shared" si="35"/>
        <v>0</v>
      </c>
      <c r="I65" s="96">
        <f t="shared" si="35"/>
        <v>0</v>
      </c>
      <c r="J65" s="96">
        <f t="shared" si="35"/>
        <v>0</v>
      </c>
      <c r="K65" s="96">
        <f t="shared" si="35"/>
        <v>0</v>
      </c>
    </row>
    <row r="66" spans="1:11" ht="15" customHeight="1" x14ac:dyDescent="0.25">
      <c r="A66" s="13" t="s">
        <v>23</v>
      </c>
      <c r="B66" s="138" t="s">
        <v>624</v>
      </c>
      <c r="C66" s="139"/>
      <c r="D66" s="96"/>
      <c r="E66" s="96"/>
      <c r="F66" s="96"/>
      <c r="G66" s="96"/>
      <c r="H66" s="96"/>
      <c r="I66" s="96"/>
      <c r="J66" s="96"/>
      <c r="K66" s="96"/>
    </row>
    <row r="67" spans="1:11" x14ac:dyDescent="0.25">
      <c r="A67" s="13" t="s">
        <v>24</v>
      </c>
      <c r="B67" s="113" t="s">
        <v>168</v>
      </c>
      <c r="C67" s="63" t="s">
        <v>523</v>
      </c>
      <c r="D67" s="81"/>
      <c r="E67" s="81"/>
      <c r="F67" s="81"/>
      <c r="G67" s="81">
        <f t="shared" ref="G67:G69" si="36">+D67+E67+F67</f>
        <v>0</v>
      </c>
      <c r="H67" s="81"/>
      <c r="I67" s="81"/>
      <c r="J67" s="81"/>
      <c r="K67" s="81"/>
    </row>
    <row r="68" spans="1:11" x14ac:dyDescent="0.25">
      <c r="A68" s="13" t="s">
        <v>25</v>
      </c>
      <c r="B68" s="113" t="s">
        <v>171</v>
      </c>
      <c r="C68" s="63" t="s">
        <v>528</v>
      </c>
      <c r="D68" s="81"/>
      <c r="E68" s="81"/>
      <c r="F68" s="81"/>
      <c r="G68" s="81">
        <f t="shared" si="36"/>
        <v>0</v>
      </c>
      <c r="H68" s="81"/>
      <c r="I68" s="81"/>
      <c r="J68" s="81"/>
      <c r="K68" s="81"/>
    </row>
    <row r="69" spans="1:11" x14ac:dyDescent="0.25">
      <c r="A69" s="13" t="s">
        <v>26</v>
      </c>
      <c r="B69" s="113" t="s">
        <v>195</v>
      </c>
      <c r="C69" s="63" t="s">
        <v>562</v>
      </c>
      <c r="D69" s="81"/>
      <c r="E69" s="81"/>
      <c r="F69" s="81"/>
      <c r="G69" s="81">
        <f t="shared" si="36"/>
        <v>0</v>
      </c>
      <c r="H69" s="81"/>
      <c r="I69" s="81"/>
      <c r="J69" s="81"/>
      <c r="K69" s="81"/>
    </row>
    <row r="70" spans="1:11" x14ac:dyDescent="0.25">
      <c r="A70" s="13" t="s">
        <v>27</v>
      </c>
      <c r="B70" s="63"/>
      <c r="C70" s="64" t="s">
        <v>652</v>
      </c>
      <c r="D70" s="96">
        <f>SUM(D67:D69)</f>
        <v>0</v>
      </c>
      <c r="E70" s="96">
        <f t="shared" ref="E70:K70" si="37">SUM(E67:E69)</f>
        <v>0</v>
      </c>
      <c r="F70" s="96">
        <f t="shared" si="37"/>
        <v>0</v>
      </c>
      <c r="G70" s="96">
        <f t="shared" si="37"/>
        <v>0</v>
      </c>
      <c r="H70" s="96">
        <f t="shared" si="37"/>
        <v>0</v>
      </c>
      <c r="I70" s="96">
        <f t="shared" si="37"/>
        <v>0</v>
      </c>
      <c r="J70" s="96">
        <f t="shared" si="37"/>
        <v>0</v>
      </c>
      <c r="K70" s="96">
        <f t="shared" si="37"/>
        <v>0</v>
      </c>
    </row>
    <row r="71" spans="1:11" x14ac:dyDescent="0.25">
      <c r="A71" s="13" t="s">
        <v>28</v>
      </c>
      <c r="B71" s="138" t="s">
        <v>653</v>
      </c>
      <c r="C71" s="139"/>
      <c r="D71" s="96">
        <f>+D65+D70</f>
        <v>140200</v>
      </c>
      <c r="E71" s="96">
        <f t="shared" ref="E71:K71" si="38">+E65+E70</f>
        <v>0</v>
      </c>
      <c r="F71" s="96">
        <f t="shared" si="38"/>
        <v>0</v>
      </c>
      <c r="G71" s="96">
        <f t="shared" si="38"/>
        <v>140200</v>
      </c>
      <c r="H71" s="96">
        <f t="shared" si="38"/>
        <v>0</v>
      </c>
      <c r="I71" s="96">
        <f t="shared" si="38"/>
        <v>0</v>
      </c>
      <c r="J71" s="96">
        <f t="shared" si="38"/>
        <v>0</v>
      </c>
      <c r="K71" s="96">
        <f t="shared" si="38"/>
        <v>0</v>
      </c>
    </row>
    <row r="72" spans="1:11" x14ac:dyDescent="0.25">
      <c r="A72" s="13" t="s">
        <v>29</v>
      </c>
      <c r="B72" s="130" t="s">
        <v>56</v>
      </c>
      <c r="C72" s="131"/>
      <c r="D72" s="96"/>
      <c r="E72" s="96"/>
      <c r="F72" s="96"/>
      <c r="G72" s="96"/>
      <c r="H72" s="96"/>
      <c r="I72" s="96"/>
      <c r="J72" s="96"/>
      <c r="K72" s="96"/>
    </row>
    <row r="73" spans="1:11" x14ac:dyDescent="0.25">
      <c r="A73" s="13" t="s">
        <v>30</v>
      </c>
      <c r="B73" s="63"/>
      <c r="C73" s="63" t="s">
        <v>628</v>
      </c>
      <c r="D73" s="81"/>
      <c r="E73" s="81"/>
      <c r="F73" s="81"/>
      <c r="G73" s="81">
        <f t="shared" ref="G73:G78" si="39">+D73+E73+F73</f>
        <v>0</v>
      </c>
      <c r="H73" s="81"/>
      <c r="I73" s="81"/>
      <c r="J73" s="81"/>
      <c r="K73" s="81"/>
    </row>
    <row r="74" spans="1:11" x14ac:dyDescent="0.25">
      <c r="A74" s="13" t="s">
        <v>31</v>
      </c>
      <c r="B74" s="63"/>
      <c r="C74" s="63" t="s">
        <v>629</v>
      </c>
      <c r="D74" s="81"/>
      <c r="E74" s="81"/>
      <c r="F74" s="81"/>
      <c r="G74" s="81">
        <f t="shared" si="39"/>
        <v>0</v>
      </c>
      <c r="H74" s="81"/>
      <c r="I74" s="81"/>
      <c r="J74" s="81"/>
      <c r="K74" s="81"/>
    </row>
    <row r="75" spans="1:11" x14ac:dyDescent="0.25">
      <c r="A75" s="13" t="s">
        <v>32</v>
      </c>
      <c r="B75" s="63"/>
      <c r="C75" s="63" t="s">
        <v>630</v>
      </c>
      <c r="D75" s="81">
        <f>+'1. melléklet'!F84</f>
        <v>1193633</v>
      </c>
      <c r="E75" s="81"/>
      <c r="F75" s="81"/>
      <c r="G75" s="81">
        <f t="shared" si="39"/>
        <v>1193633</v>
      </c>
      <c r="H75" s="81"/>
      <c r="I75" s="81"/>
      <c r="J75" s="81"/>
      <c r="K75" s="81"/>
    </row>
    <row r="76" spans="1:11" ht="15" customHeight="1" x14ac:dyDescent="0.25">
      <c r="A76" s="13" t="s">
        <v>33</v>
      </c>
      <c r="B76" s="63"/>
      <c r="C76" s="63" t="s">
        <v>631</v>
      </c>
      <c r="D76" s="81"/>
      <c r="E76" s="81"/>
      <c r="F76" s="81"/>
      <c r="G76" s="81">
        <f t="shared" si="39"/>
        <v>0</v>
      </c>
      <c r="H76" s="81"/>
      <c r="I76" s="81"/>
      <c r="J76" s="81"/>
      <c r="K76" s="81"/>
    </row>
    <row r="77" spans="1:11" x14ac:dyDescent="0.25">
      <c r="A77" s="13" t="s">
        <v>34</v>
      </c>
      <c r="B77" s="63"/>
      <c r="C77" s="100" t="s">
        <v>632</v>
      </c>
      <c r="D77" s="99">
        <v>161723164</v>
      </c>
      <c r="E77" s="81"/>
      <c r="F77" s="81"/>
      <c r="G77" s="81">
        <f t="shared" si="39"/>
        <v>161723164</v>
      </c>
      <c r="H77" s="81"/>
      <c r="I77" s="81"/>
      <c r="J77" s="81"/>
      <c r="K77" s="81"/>
    </row>
    <row r="78" spans="1:11" x14ac:dyDescent="0.25">
      <c r="A78" s="13" t="s">
        <v>35</v>
      </c>
      <c r="B78" s="63"/>
      <c r="C78" s="63" t="s">
        <v>633</v>
      </c>
      <c r="D78" s="81"/>
      <c r="E78" s="81"/>
      <c r="F78" s="81"/>
      <c r="G78" s="81">
        <f t="shared" si="39"/>
        <v>0</v>
      </c>
      <c r="H78" s="81"/>
      <c r="I78" s="81"/>
      <c r="J78" s="81"/>
      <c r="K78" s="81"/>
    </row>
    <row r="79" spans="1:11" x14ac:dyDescent="0.25">
      <c r="A79" s="13" t="s">
        <v>36</v>
      </c>
      <c r="B79" s="140" t="s">
        <v>654</v>
      </c>
      <c r="C79" s="141"/>
      <c r="D79" s="96">
        <f>SUM(D73:D78)</f>
        <v>162916797</v>
      </c>
      <c r="E79" s="96">
        <f t="shared" ref="E79:K79" si="40">SUM(E73:E78)</f>
        <v>0</v>
      </c>
      <c r="F79" s="96">
        <f t="shared" si="40"/>
        <v>0</v>
      </c>
      <c r="G79" s="96">
        <f t="shared" si="40"/>
        <v>162916797</v>
      </c>
      <c r="H79" s="96">
        <f t="shared" si="40"/>
        <v>0</v>
      </c>
      <c r="I79" s="96">
        <f t="shared" si="40"/>
        <v>0</v>
      </c>
      <c r="J79" s="96">
        <f t="shared" si="40"/>
        <v>0</v>
      </c>
      <c r="K79" s="96">
        <f t="shared" si="40"/>
        <v>0</v>
      </c>
    </row>
    <row r="80" spans="1:11" x14ac:dyDescent="0.25">
      <c r="A80" s="13" t="s">
        <v>37</v>
      </c>
      <c r="B80" s="142" t="s">
        <v>655</v>
      </c>
      <c r="C80" s="143"/>
      <c r="D80" s="89">
        <f>+D71+D79</f>
        <v>163056997</v>
      </c>
      <c r="E80" s="89">
        <f t="shared" ref="E80:K80" si="41">+E71+E79</f>
        <v>0</v>
      </c>
      <c r="F80" s="89">
        <f t="shared" si="41"/>
        <v>0</v>
      </c>
      <c r="G80" s="89">
        <f t="shared" si="41"/>
        <v>163056997</v>
      </c>
      <c r="H80" s="89">
        <f t="shared" si="41"/>
        <v>0</v>
      </c>
      <c r="I80" s="89">
        <f t="shared" si="41"/>
        <v>0</v>
      </c>
      <c r="J80" s="89">
        <f t="shared" si="41"/>
        <v>0</v>
      </c>
      <c r="K80" s="89">
        <f t="shared" si="41"/>
        <v>0</v>
      </c>
    </row>
    <row r="81" spans="1:11" ht="16.5" customHeight="1" x14ac:dyDescent="0.25"/>
    <row r="82" spans="1:11" ht="45.75" customHeight="1" x14ac:dyDescent="0.25">
      <c r="A82" s="115" t="s">
        <v>0</v>
      </c>
      <c r="B82" s="134" t="s">
        <v>615</v>
      </c>
      <c r="C82" s="135"/>
      <c r="D82" s="167" t="s">
        <v>15</v>
      </c>
      <c r="E82" s="168"/>
      <c r="F82" s="169"/>
      <c r="G82" s="170"/>
      <c r="H82" s="167" t="s">
        <v>15</v>
      </c>
      <c r="I82" s="168"/>
      <c r="J82" s="169"/>
      <c r="K82" s="170"/>
    </row>
    <row r="83" spans="1:11" ht="30" customHeight="1" x14ac:dyDescent="0.25">
      <c r="A83" s="115"/>
      <c r="B83" s="165"/>
      <c r="C83" s="166"/>
      <c r="D83" s="34" t="s">
        <v>608</v>
      </c>
      <c r="E83" s="34" t="s">
        <v>606</v>
      </c>
      <c r="F83" s="34" t="s">
        <v>607</v>
      </c>
      <c r="G83" s="34" t="s">
        <v>505</v>
      </c>
      <c r="H83" s="34" t="s">
        <v>608</v>
      </c>
      <c r="I83" s="34" t="s">
        <v>606</v>
      </c>
      <c r="J83" s="34" t="s">
        <v>607</v>
      </c>
      <c r="K83" s="34" t="s">
        <v>505</v>
      </c>
    </row>
    <row r="84" spans="1:11" ht="15" customHeight="1" x14ac:dyDescent="0.25">
      <c r="A84" s="115"/>
      <c r="B84" s="136"/>
      <c r="C84" s="137"/>
      <c r="D84" s="144" t="s">
        <v>609</v>
      </c>
      <c r="E84" s="162"/>
      <c r="F84" s="163"/>
      <c r="G84" s="164"/>
      <c r="H84" s="144" t="s">
        <v>610</v>
      </c>
      <c r="I84" s="156"/>
      <c r="J84" s="145"/>
      <c r="K84" s="146"/>
    </row>
    <row r="85" spans="1:11" ht="16.5" customHeight="1" x14ac:dyDescent="0.25">
      <c r="A85" s="13" t="s">
        <v>17</v>
      </c>
      <c r="B85" s="132" t="s">
        <v>636</v>
      </c>
      <c r="C85" s="133"/>
      <c r="D85" s="53"/>
      <c r="E85" s="53"/>
      <c r="F85" s="53"/>
      <c r="G85" s="53"/>
      <c r="H85" s="53"/>
      <c r="I85" s="53"/>
      <c r="J85" s="53"/>
      <c r="K85" s="53"/>
    </row>
    <row r="86" spans="1:11" ht="16.5" customHeight="1" x14ac:dyDescent="0.25">
      <c r="A86" s="13" t="s">
        <v>18</v>
      </c>
      <c r="B86" s="7"/>
      <c r="C86" s="7" t="s">
        <v>49</v>
      </c>
      <c r="D86" s="81">
        <f>+'2. melléklet'!F28</f>
        <v>134477997</v>
      </c>
      <c r="E86" s="81"/>
      <c r="F86" s="81"/>
      <c r="G86" s="81">
        <f t="shared" ref="G86:G90" si="42">+D86+E86+F86</f>
        <v>134477997</v>
      </c>
      <c r="H86" s="81"/>
      <c r="I86" s="81"/>
      <c r="J86" s="81"/>
      <c r="K86" s="81"/>
    </row>
    <row r="87" spans="1:11" ht="16.5" customHeight="1" x14ac:dyDescent="0.25">
      <c r="A87" s="13" t="s">
        <v>19</v>
      </c>
      <c r="B87" s="7"/>
      <c r="C87" s="7" t="s">
        <v>50</v>
      </c>
      <c r="D87" s="81">
        <f>+'2. melléklet'!F29</f>
        <v>17700000</v>
      </c>
      <c r="E87" s="81"/>
      <c r="F87" s="81"/>
      <c r="G87" s="81">
        <f t="shared" si="42"/>
        <v>17700000</v>
      </c>
      <c r="H87" s="81"/>
      <c r="I87" s="81"/>
      <c r="J87" s="81"/>
      <c r="K87" s="81"/>
    </row>
    <row r="88" spans="1:11" ht="16.5" customHeight="1" x14ac:dyDescent="0.25">
      <c r="A88" s="13" t="s">
        <v>20</v>
      </c>
      <c r="B88" s="7"/>
      <c r="C88" s="7" t="s">
        <v>637</v>
      </c>
      <c r="D88" s="81">
        <f>+'2. melléklet'!F56</f>
        <v>10355000</v>
      </c>
      <c r="E88" s="81"/>
      <c r="F88" s="81"/>
      <c r="G88" s="81">
        <f t="shared" si="42"/>
        <v>10355000</v>
      </c>
      <c r="H88" s="81"/>
      <c r="I88" s="81"/>
      <c r="J88" s="81"/>
      <c r="K88" s="81"/>
    </row>
    <row r="89" spans="1:11" ht="16.5" customHeight="1" x14ac:dyDescent="0.25">
      <c r="A89" s="13" t="s">
        <v>21</v>
      </c>
      <c r="B89" s="7"/>
      <c r="C89" s="7" t="s">
        <v>51</v>
      </c>
      <c r="D89" s="81">
        <f>+'2. melléklet'!F59</f>
        <v>0</v>
      </c>
      <c r="E89" s="81"/>
      <c r="F89" s="81"/>
      <c r="G89" s="81">
        <f t="shared" si="42"/>
        <v>0</v>
      </c>
      <c r="H89" s="81"/>
      <c r="I89" s="81"/>
      <c r="J89" s="81"/>
      <c r="K89" s="81"/>
    </row>
    <row r="90" spans="1:11" ht="16.5" customHeight="1" x14ac:dyDescent="0.25">
      <c r="A90" s="13" t="s">
        <v>22</v>
      </c>
      <c r="B90" s="7"/>
      <c r="C90" s="7" t="s">
        <v>613</v>
      </c>
      <c r="D90" s="81">
        <f>+'2. melléklet'!F74</f>
        <v>0</v>
      </c>
      <c r="E90" s="81"/>
      <c r="F90" s="81"/>
      <c r="G90" s="81">
        <f t="shared" si="42"/>
        <v>0</v>
      </c>
      <c r="H90" s="81"/>
      <c r="I90" s="81"/>
      <c r="J90" s="81"/>
      <c r="K90" s="81"/>
    </row>
    <row r="91" spans="1:11" ht="16.5" customHeight="1" x14ac:dyDescent="0.25">
      <c r="A91" s="13" t="s">
        <v>23</v>
      </c>
      <c r="B91" s="7"/>
      <c r="C91" s="43" t="s">
        <v>638</v>
      </c>
      <c r="D91" s="96">
        <f>SUM(D86:D90)</f>
        <v>162532997</v>
      </c>
      <c r="E91" s="96">
        <f t="shared" ref="E91:K91" si="43">SUM(E86:E90)</f>
        <v>0</v>
      </c>
      <c r="F91" s="96">
        <f t="shared" si="43"/>
        <v>0</v>
      </c>
      <c r="G91" s="96">
        <f t="shared" si="43"/>
        <v>162532997</v>
      </c>
      <c r="H91" s="96">
        <f t="shared" si="43"/>
        <v>0</v>
      </c>
      <c r="I91" s="96">
        <f t="shared" si="43"/>
        <v>0</v>
      </c>
      <c r="J91" s="96">
        <f t="shared" si="43"/>
        <v>0</v>
      </c>
      <c r="K91" s="96">
        <f t="shared" si="43"/>
        <v>0</v>
      </c>
    </row>
    <row r="92" spans="1:11" ht="16.5" customHeight="1" x14ac:dyDescent="0.25">
      <c r="A92" s="13" t="s">
        <v>24</v>
      </c>
      <c r="B92" s="132" t="s">
        <v>639</v>
      </c>
      <c r="C92" s="132"/>
      <c r="D92" s="96"/>
      <c r="E92" s="96"/>
      <c r="F92" s="96"/>
      <c r="G92" s="96"/>
      <c r="H92" s="96"/>
      <c r="I92" s="96"/>
      <c r="J92" s="96"/>
      <c r="K92" s="96"/>
    </row>
    <row r="93" spans="1:11" ht="16.5" customHeight="1" x14ac:dyDescent="0.25">
      <c r="A93" s="13" t="s">
        <v>25</v>
      </c>
      <c r="B93" s="7"/>
      <c r="C93" s="7" t="s">
        <v>540</v>
      </c>
      <c r="D93" s="81">
        <f>+'2. melléklet'!F80</f>
        <v>524000</v>
      </c>
      <c r="E93" s="81"/>
      <c r="F93" s="81"/>
      <c r="G93" s="81">
        <f t="shared" ref="G93:G95" si="44">+D93+E93+F93</f>
        <v>524000</v>
      </c>
      <c r="H93" s="81"/>
      <c r="I93" s="81"/>
      <c r="J93" s="81"/>
      <c r="K93" s="81"/>
    </row>
    <row r="94" spans="1:11" ht="16.5" customHeight="1" x14ac:dyDescent="0.25">
      <c r="A94" s="13" t="s">
        <v>26</v>
      </c>
      <c r="B94" s="7"/>
      <c r="C94" s="7" t="s">
        <v>541</v>
      </c>
      <c r="D94" s="81">
        <f>+'2. melléklet'!F85</f>
        <v>0</v>
      </c>
      <c r="E94" s="81"/>
      <c r="F94" s="81"/>
      <c r="G94" s="81">
        <f t="shared" si="44"/>
        <v>0</v>
      </c>
      <c r="H94" s="81"/>
      <c r="I94" s="81"/>
      <c r="J94" s="81"/>
      <c r="K94" s="81"/>
    </row>
    <row r="95" spans="1:11" ht="16.5" customHeight="1" x14ac:dyDescent="0.25">
      <c r="A95" s="13" t="s">
        <v>27</v>
      </c>
      <c r="B95" s="7"/>
      <c r="C95" s="7" t="s">
        <v>640</v>
      </c>
      <c r="D95" s="81">
        <f>+'2. melléklet'!F93</f>
        <v>0</v>
      </c>
      <c r="E95" s="81"/>
      <c r="F95" s="81"/>
      <c r="G95" s="81">
        <f t="shared" si="44"/>
        <v>0</v>
      </c>
      <c r="H95" s="81"/>
      <c r="I95" s="81"/>
      <c r="J95" s="81"/>
      <c r="K95" s="81"/>
    </row>
    <row r="96" spans="1:11" ht="16.5" customHeight="1" x14ac:dyDescent="0.25">
      <c r="A96" s="13" t="s">
        <v>28</v>
      </c>
      <c r="B96" s="7"/>
      <c r="C96" s="43" t="s">
        <v>641</v>
      </c>
      <c r="D96" s="96">
        <f>SUM(D93:D95)</f>
        <v>524000</v>
      </c>
      <c r="E96" s="96">
        <f t="shared" ref="E96:K96" si="45">SUM(E93:E95)</f>
        <v>0</v>
      </c>
      <c r="F96" s="96">
        <f t="shared" si="45"/>
        <v>0</v>
      </c>
      <c r="G96" s="96">
        <f t="shared" si="45"/>
        <v>524000</v>
      </c>
      <c r="H96" s="96">
        <f t="shared" si="45"/>
        <v>0</v>
      </c>
      <c r="I96" s="96">
        <f t="shared" si="45"/>
        <v>0</v>
      </c>
      <c r="J96" s="96">
        <f t="shared" si="45"/>
        <v>0</v>
      </c>
      <c r="K96" s="96">
        <f t="shared" si="45"/>
        <v>0</v>
      </c>
    </row>
    <row r="97" spans="1:11" ht="16.5" customHeight="1" x14ac:dyDescent="0.25">
      <c r="A97" s="13" t="s">
        <v>29</v>
      </c>
      <c r="B97" s="132" t="s">
        <v>642</v>
      </c>
      <c r="C97" s="132"/>
      <c r="D97" s="96">
        <f>+D91+D96</f>
        <v>163056997</v>
      </c>
      <c r="E97" s="96">
        <f t="shared" ref="E97:K97" si="46">+E91+E96</f>
        <v>0</v>
      </c>
      <c r="F97" s="96">
        <f t="shared" si="46"/>
        <v>0</v>
      </c>
      <c r="G97" s="96">
        <f t="shared" si="46"/>
        <v>163056997</v>
      </c>
      <c r="H97" s="96">
        <f t="shared" si="46"/>
        <v>0</v>
      </c>
      <c r="I97" s="96">
        <f t="shared" si="46"/>
        <v>0</v>
      </c>
      <c r="J97" s="96">
        <f t="shared" si="46"/>
        <v>0</v>
      </c>
      <c r="K97" s="96">
        <f t="shared" si="46"/>
        <v>0</v>
      </c>
    </row>
    <row r="98" spans="1:11" ht="16.5" customHeight="1" x14ac:dyDescent="0.25">
      <c r="A98" s="13" t="s">
        <v>30</v>
      </c>
      <c r="B98" s="132" t="s">
        <v>55</v>
      </c>
      <c r="C98" s="133"/>
      <c r="D98" s="96"/>
      <c r="E98" s="96"/>
      <c r="F98" s="96"/>
      <c r="G98" s="96"/>
      <c r="H98" s="96"/>
      <c r="I98" s="96"/>
      <c r="J98" s="96"/>
      <c r="K98" s="96"/>
    </row>
    <row r="99" spans="1:11" ht="16.5" customHeight="1" x14ac:dyDescent="0.25">
      <c r="A99" s="13" t="s">
        <v>31</v>
      </c>
      <c r="B99" s="7"/>
      <c r="C99" s="7" t="s">
        <v>643</v>
      </c>
      <c r="D99" s="81">
        <f>+'2. melléklet'!F111</f>
        <v>0</v>
      </c>
      <c r="E99" s="81"/>
      <c r="F99" s="81"/>
      <c r="G99" s="81">
        <f t="shared" ref="G99:G102" si="47">+D99+E99+F99</f>
        <v>0</v>
      </c>
      <c r="H99" s="81"/>
      <c r="I99" s="81"/>
      <c r="J99" s="81"/>
      <c r="K99" s="81"/>
    </row>
    <row r="100" spans="1:11" ht="16.5" customHeight="1" x14ac:dyDescent="0.25">
      <c r="A100" s="13" t="s">
        <v>32</v>
      </c>
      <c r="B100" s="7"/>
      <c r="C100" s="7" t="s">
        <v>452</v>
      </c>
      <c r="D100" s="81">
        <f>+'2. melléklet'!F113</f>
        <v>0</v>
      </c>
      <c r="E100" s="81"/>
      <c r="F100" s="81"/>
      <c r="G100" s="81">
        <f t="shared" si="47"/>
        <v>0</v>
      </c>
      <c r="H100" s="81"/>
      <c r="I100" s="81"/>
      <c r="J100" s="81"/>
      <c r="K100" s="81"/>
    </row>
    <row r="101" spans="1:11" ht="16.5" customHeight="1" x14ac:dyDescent="0.25">
      <c r="A101" s="13" t="s">
        <v>33</v>
      </c>
      <c r="B101" s="7"/>
      <c r="C101" s="7" t="s">
        <v>644</v>
      </c>
      <c r="D101" s="81">
        <f>+'2. melléklet'!F114</f>
        <v>0</v>
      </c>
      <c r="E101" s="81"/>
      <c r="F101" s="81"/>
      <c r="G101" s="81">
        <f t="shared" si="47"/>
        <v>0</v>
      </c>
      <c r="H101" s="81"/>
      <c r="I101" s="81"/>
      <c r="J101" s="81"/>
      <c r="K101" s="81"/>
    </row>
    <row r="102" spans="1:11" ht="16.5" customHeight="1" x14ac:dyDescent="0.25">
      <c r="A102" s="13" t="s">
        <v>34</v>
      </c>
      <c r="B102" s="7"/>
      <c r="C102" s="7" t="s">
        <v>645</v>
      </c>
      <c r="D102" s="81">
        <f>+'2. melléklet'!F115</f>
        <v>0</v>
      </c>
      <c r="E102" s="81"/>
      <c r="F102" s="81"/>
      <c r="G102" s="81">
        <f t="shared" si="47"/>
        <v>0</v>
      </c>
      <c r="H102" s="81"/>
      <c r="I102" s="81"/>
      <c r="J102" s="81"/>
      <c r="K102" s="81"/>
    </row>
    <row r="103" spans="1:11" ht="16.5" customHeight="1" x14ac:dyDescent="0.25">
      <c r="A103" s="13" t="s">
        <v>35</v>
      </c>
      <c r="B103" s="43" t="s">
        <v>646</v>
      </c>
      <c r="C103" s="43"/>
      <c r="D103" s="96">
        <f>SUM(D99:D102)</f>
        <v>0</v>
      </c>
      <c r="E103" s="96">
        <f t="shared" ref="E103:K103" si="48">SUM(E99:E102)</f>
        <v>0</v>
      </c>
      <c r="F103" s="96">
        <f t="shared" si="48"/>
        <v>0</v>
      </c>
      <c r="G103" s="96">
        <f t="shared" si="48"/>
        <v>0</v>
      </c>
      <c r="H103" s="96">
        <f t="shared" si="48"/>
        <v>0</v>
      </c>
      <c r="I103" s="96">
        <f t="shared" si="48"/>
        <v>0</v>
      </c>
      <c r="J103" s="96">
        <f t="shared" si="48"/>
        <v>0</v>
      </c>
      <c r="K103" s="96">
        <f t="shared" si="48"/>
        <v>0</v>
      </c>
    </row>
    <row r="104" spans="1:11" ht="16.5" customHeight="1" x14ac:dyDescent="0.25">
      <c r="A104" s="13" t="s">
        <v>36</v>
      </c>
      <c r="B104" s="153" t="s">
        <v>647</v>
      </c>
      <c r="C104" s="154"/>
      <c r="D104" s="97">
        <f>+D97+D103</f>
        <v>163056997</v>
      </c>
      <c r="E104" s="97">
        <f t="shared" ref="E104:K104" si="49">+E97+E103</f>
        <v>0</v>
      </c>
      <c r="F104" s="97">
        <f t="shared" si="49"/>
        <v>0</v>
      </c>
      <c r="G104" s="97">
        <f t="shared" si="49"/>
        <v>163056997</v>
      </c>
      <c r="H104" s="97">
        <f t="shared" si="49"/>
        <v>0</v>
      </c>
      <c r="I104" s="97">
        <f t="shared" si="49"/>
        <v>0</v>
      </c>
      <c r="J104" s="97">
        <f t="shared" si="49"/>
        <v>0</v>
      </c>
      <c r="K104" s="97">
        <f t="shared" si="49"/>
        <v>0</v>
      </c>
    </row>
    <row r="105" spans="1:11" ht="16.5" customHeight="1" x14ac:dyDescent="0.25">
      <c r="A105" s="13" t="s">
        <v>37</v>
      </c>
      <c r="B105" s="61"/>
      <c r="C105" s="60"/>
      <c r="D105" s="81"/>
      <c r="E105" s="81"/>
      <c r="F105" s="81"/>
      <c r="G105" s="81"/>
      <c r="H105" s="81"/>
      <c r="I105" s="81"/>
      <c r="J105" s="81"/>
      <c r="K105" s="81"/>
    </row>
    <row r="106" spans="1:11" ht="16.5" customHeight="1" x14ac:dyDescent="0.25">
      <c r="A106" s="13" t="s">
        <v>38</v>
      </c>
      <c r="B106" s="155" t="s">
        <v>648</v>
      </c>
      <c r="C106" s="149"/>
      <c r="D106" s="89">
        <f>+D80-D104</f>
        <v>0</v>
      </c>
      <c r="E106" s="89">
        <f t="shared" ref="E106:K106" si="50">+E80-E104</f>
        <v>0</v>
      </c>
      <c r="F106" s="89">
        <f t="shared" si="50"/>
        <v>0</v>
      </c>
      <c r="G106" s="89">
        <f t="shared" si="50"/>
        <v>0</v>
      </c>
      <c r="H106" s="89">
        <f t="shared" si="50"/>
        <v>0</v>
      </c>
      <c r="I106" s="89">
        <f t="shared" si="50"/>
        <v>0</v>
      </c>
      <c r="J106" s="89">
        <f t="shared" si="50"/>
        <v>0</v>
      </c>
      <c r="K106" s="89">
        <f t="shared" si="50"/>
        <v>0</v>
      </c>
    </row>
    <row r="108" spans="1:11" x14ac:dyDescent="0.25">
      <c r="D108" s="98"/>
    </row>
    <row r="109" spans="1:11" ht="45.75" customHeight="1" x14ac:dyDescent="0.25">
      <c r="A109" s="115" t="s">
        <v>0</v>
      </c>
      <c r="B109" s="134" t="s">
        <v>614</v>
      </c>
      <c r="C109" s="135"/>
      <c r="D109" s="160" t="s">
        <v>650</v>
      </c>
      <c r="E109" s="161"/>
      <c r="F109" s="145"/>
      <c r="G109" s="146"/>
      <c r="H109" s="160" t="s">
        <v>650</v>
      </c>
      <c r="I109" s="161"/>
      <c r="J109" s="145"/>
      <c r="K109" s="146"/>
    </row>
    <row r="110" spans="1:11" ht="30" customHeight="1" x14ac:dyDescent="0.25">
      <c r="A110" s="115"/>
      <c r="B110" s="165"/>
      <c r="C110" s="166"/>
      <c r="D110" s="34" t="s">
        <v>608</v>
      </c>
      <c r="E110" s="34" t="s">
        <v>606</v>
      </c>
      <c r="F110" s="34" t="s">
        <v>607</v>
      </c>
      <c r="G110" s="34" t="s">
        <v>505</v>
      </c>
      <c r="H110" s="34" t="s">
        <v>608</v>
      </c>
      <c r="I110" s="34" t="s">
        <v>606</v>
      </c>
      <c r="J110" s="34" t="s">
        <v>607</v>
      </c>
      <c r="K110" s="34" t="s">
        <v>505</v>
      </c>
    </row>
    <row r="111" spans="1:11" ht="15" customHeight="1" x14ac:dyDescent="0.25">
      <c r="A111" s="115"/>
      <c r="B111" s="136"/>
      <c r="C111" s="137"/>
      <c r="D111" s="144" t="s">
        <v>609</v>
      </c>
      <c r="E111" s="162"/>
      <c r="F111" s="163"/>
      <c r="G111" s="164"/>
      <c r="H111" s="144" t="s">
        <v>610</v>
      </c>
      <c r="I111" s="156"/>
      <c r="J111" s="145"/>
      <c r="K111" s="146"/>
    </row>
    <row r="112" spans="1:11" ht="15" customHeight="1" x14ac:dyDescent="0.25">
      <c r="A112" s="13" t="s">
        <v>17</v>
      </c>
      <c r="B112" s="138" t="s">
        <v>623</v>
      </c>
      <c r="C112" s="139"/>
      <c r="D112" s="96"/>
      <c r="E112" s="96"/>
      <c r="F112" s="96"/>
      <c r="G112" s="96"/>
      <c r="H112" s="96"/>
      <c r="I112" s="96"/>
      <c r="J112" s="96"/>
      <c r="K112" s="96"/>
    </row>
    <row r="113" spans="1:11" ht="15.75" customHeight="1" x14ac:dyDescent="0.25">
      <c r="A113" s="13" t="s">
        <v>18</v>
      </c>
      <c r="B113" s="113" t="s">
        <v>559</v>
      </c>
      <c r="C113" s="63" t="s">
        <v>522</v>
      </c>
      <c r="D113" s="81"/>
      <c r="E113" s="81"/>
      <c r="F113" s="81"/>
      <c r="G113" s="81">
        <f>+D113+E113+F113</f>
        <v>0</v>
      </c>
      <c r="H113" s="81"/>
      <c r="I113" s="81"/>
      <c r="J113" s="81"/>
      <c r="K113" s="81"/>
    </row>
    <row r="114" spans="1:11" x14ac:dyDescent="0.25">
      <c r="A114" s="13" t="s">
        <v>19</v>
      </c>
      <c r="B114" s="113" t="s">
        <v>169</v>
      </c>
      <c r="C114" s="63" t="s">
        <v>47</v>
      </c>
      <c r="D114" s="81"/>
      <c r="E114" s="81"/>
      <c r="F114" s="81"/>
      <c r="G114" s="81">
        <f t="shared" ref="G114:G116" si="51">+D114+E114+F114</f>
        <v>0</v>
      </c>
      <c r="H114" s="81"/>
      <c r="I114" s="81"/>
      <c r="J114" s="81"/>
      <c r="K114" s="81"/>
    </row>
    <row r="115" spans="1:11" x14ac:dyDescent="0.25">
      <c r="A115" s="13" t="s">
        <v>20</v>
      </c>
      <c r="B115" s="113" t="s">
        <v>170</v>
      </c>
      <c r="C115" s="63" t="s">
        <v>44</v>
      </c>
      <c r="D115" s="81"/>
      <c r="E115" s="81">
        <f>+'1. melléklet'!H47</f>
        <v>2923994</v>
      </c>
      <c r="F115" s="81"/>
      <c r="G115" s="81">
        <f t="shared" si="51"/>
        <v>2923994</v>
      </c>
      <c r="H115" s="81"/>
      <c r="I115" s="81"/>
      <c r="J115" s="81"/>
      <c r="K115" s="81"/>
    </row>
    <row r="116" spans="1:11" x14ac:dyDescent="0.25">
      <c r="A116" s="13" t="s">
        <v>21</v>
      </c>
      <c r="B116" s="113" t="s">
        <v>189</v>
      </c>
      <c r="C116" s="63" t="s">
        <v>46</v>
      </c>
      <c r="D116" s="81"/>
      <c r="E116" s="81">
        <f>+'1. melléklet'!H59</f>
        <v>0</v>
      </c>
      <c r="F116" s="81"/>
      <c r="G116" s="81">
        <f t="shared" si="51"/>
        <v>0</v>
      </c>
      <c r="H116" s="81"/>
      <c r="I116" s="81"/>
      <c r="J116" s="81"/>
      <c r="K116" s="81"/>
    </row>
    <row r="117" spans="1:11" x14ac:dyDescent="0.25">
      <c r="A117" s="13" t="s">
        <v>22</v>
      </c>
      <c r="B117" s="63"/>
      <c r="C117" s="64" t="s">
        <v>651</v>
      </c>
      <c r="D117" s="96">
        <f>SUM(D111:D116)</f>
        <v>0</v>
      </c>
      <c r="E117" s="96">
        <f t="shared" ref="E117:K117" si="52">SUM(E111:E116)</f>
        <v>2923994</v>
      </c>
      <c r="F117" s="96">
        <f t="shared" si="52"/>
        <v>0</v>
      </c>
      <c r="G117" s="96">
        <f t="shared" si="52"/>
        <v>2923994</v>
      </c>
      <c r="H117" s="96">
        <f t="shared" si="52"/>
        <v>0</v>
      </c>
      <c r="I117" s="96">
        <f t="shared" si="52"/>
        <v>0</v>
      </c>
      <c r="J117" s="96">
        <f t="shared" si="52"/>
        <v>0</v>
      </c>
      <c r="K117" s="96">
        <f t="shared" si="52"/>
        <v>0</v>
      </c>
    </row>
    <row r="118" spans="1:11" ht="15" customHeight="1" x14ac:dyDescent="0.25">
      <c r="A118" s="13" t="s">
        <v>23</v>
      </c>
      <c r="B118" s="138" t="s">
        <v>624</v>
      </c>
      <c r="C118" s="139"/>
      <c r="D118" s="96"/>
      <c r="E118" s="96"/>
      <c r="F118" s="96"/>
      <c r="G118" s="96"/>
      <c r="H118" s="96"/>
      <c r="I118" s="96"/>
      <c r="J118" s="96"/>
      <c r="K118" s="96"/>
    </row>
    <row r="119" spans="1:11" x14ac:dyDescent="0.25">
      <c r="A119" s="13" t="s">
        <v>24</v>
      </c>
      <c r="B119" s="113" t="s">
        <v>168</v>
      </c>
      <c r="C119" s="63" t="s">
        <v>523</v>
      </c>
      <c r="D119" s="81"/>
      <c r="E119" s="81">
        <f>+'1. melléklet'!H29</f>
        <v>0</v>
      </c>
      <c r="F119" s="81"/>
      <c r="G119" s="81">
        <f t="shared" ref="G119:G121" si="53">+D119+E119+F119</f>
        <v>0</v>
      </c>
      <c r="H119" s="81"/>
      <c r="I119" s="81"/>
      <c r="J119" s="81"/>
      <c r="K119" s="81"/>
    </row>
    <row r="120" spans="1:11" x14ac:dyDescent="0.25">
      <c r="A120" s="13" t="s">
        <v>25</v>
      </c>
      <c r="B120" s="113" t="s">
        <v>171</v>
      </c>
      <c r="C120" s="63" t="s">
        <v>528</v>
      </c>
      <c r="D120" s="81"/>
      <c r="E120" s="81">
        <f>+'1. melléklet'!H53</f>
        <v>0</v>
      </c>
      <c r="F120" s="81"/>
      <c r="G120" s="81">
        <f t="shared" si="53"/>
        <v>0</v>
      </c>
      <c r="H120" s="81"/>
      <c r="I120" s="81"/>
      <c r="J120" s="81"/>
      <c r="K120" s="81"/>
    </row>
    <row r="121" spans="1:11" x14ac:dyDescent="0.25">
      <c r="A121" s="13" t="s">
        <v>26</v>
      </c>
      <c r="B121" s="113" t="s">
        <v>195</v>
      </c>
      <c r="C121" s="63" t="s">
        <v>562</v>
      </c>
      <c r="D121" s="81"/>
      <c r="E121" s="81">
        <f>+'1. melléklet'!H65</f>
        <v>0</v>
      </c>
      <c r="F121" s="81"/>
      <c r="G121" s="81">
        <f t="shared" si="53"/>
        <v>0</v>
      </c>
      <c r="H121" s="81"/>
      <c r="I121" s="81"/>
      <c r="J121" s="81"/>
      <c r="K121" s="81"/>
    </row>
    <row r="122" spans="1:11" x14ac:dyDescent="0.25">
      <c r="A122" s="13" t="s">
        <v>27</v>
      </c>
      <c r="B122" s="63"/>
      <c r="C122" s="64" t="s">
        <v>652</v>
      </c>
      <c r="D122" s="96">
        <f>SUM(D119:D121)</f>
        <v>0</v>
      </c>
      <c r="E122" s="96">
        <f t="shared" ref="E122:K122" si="54">SUM(E119:E121)</f>
        <v>0</v>
      </c>
      <c r="F122" s="96">
        <f t="shared" si="54"/>
        <v>0</v>
      </c>
      <c r="G122" s="96">
        <f t="shared" si="54"/>
        <v>0</v>
      </c>
      <c r="H122" s="96">
        <f t="shared" si="54"/>
        <v>0</v>
      </c>
      <c r="I122" s="96">
        <f t="shared" si="54"/>
        <v>0</v>
      </c>
      <c r="J122" s="96">
        <f t="shared" si="54"/>
        <v>0</v>
      </c>
      <c r="K122" s="96">
        <f t="shared" si="54"/>
        <v>0</v>
      </c>
    </row>
    <row r="123" spans="1:11" x14ac:dyDescent="0.25">
      <c r="A123" s="13" t="s">
        <v>28</v>
      </c>
      <c r="B123" s="138" t="s">
        <v>653</v>
      </c>
      <c r="C123" s="139"/>
      <c r="D123" s="96">
        <f>+D117+D122</f>
        <v>0</v>
      </c>
      <c r="E123" s="96">
        <f t="shared" ref="E123:K123" si="55">+E117+E122</f>
        <v>2923994</v>
      </c>
      <c r="F123" s="96">
        <f t="shared" si="55"/>
        <v>0</v>
      </c>
      <c r="G123" s="96">
        <f t="shared" si="55"/>
        <v>2923994</v>
      </c>
      <c r="H123" s="96">
        <f t="shared" si="55"/>
        <v>0</v>
      </c>
      <c r="I123" s="96">
        <f t="shared" si="55"/>
        <v>0</v>
      </c>
      <c r="J123" s="96">
        <f t="shared" si="55"/>
        <v>0</v>
      </c>
      <c r="K123" s="96">
        <f t="shared" si="55"/>
        <v>0</v>
      </c>
    </row>
    <row r="124" spans="1:11" x14ac:dyDescent="0.25">
      <c r="A124" s="13" t="s">
        <v>29</v>
      </c>
      <c r="B124" s="130" t="s">
        <v>56</v>
      </c>
      <c r="C124" s="131"/>
      <c r="D124" s="96"/>
      <c r="E124" s="96"/>
      <c r="F124" s="96"/>
      <c r="G124" s="96"/>
      <c r="H124" s="96"/>
      <c r="I124" s="96"/>
      <c r="J124" s="96"/>
      <c r="K124" s="96"/>
    </row>
    <row r="125" spans="1:11" x14ac:dyDescent="0.25">
      <c r="A125" s="13" t="s">
        <v>30</v>
      </c>
      <c r="B125" s="63"/>
      <c r="C125" s="63" t="s">
        <v>628</v>
      </c>
      <c r="D125" s="81"/>
      <c r="E125" s="81">
        <f>+'1. melléklet'!H76</f>
        <v>0</v>
      </c>
      <c r="F125" s="81"/>
      <c r="G125" s="81">
        <f t="shared" ref="G125:G130" si="56">+D125+E125+F125</f>
        <v>0</v>
      </c>
      <c r="H125" s="81"/>
      <c r="I125" s="81"/>
      <c r="J125" s="81"/>
      <c r="K125" s="81"/>
    </row>
    <row r="126" spans="1:11" x14ac:dyDescent="0.25">
      <c r="A126" s="13" t="s">
        <v>31</v>
      </c>
      <c r="B126" s="63"/>
      <c r="C126" s="63" t="s">
        <v>629</v>
      </c>
      <c r="D126" s="81"/>
      <c r="E126" s="81">
        <f>+'1. melléklet'!H81</f>
        <v>0</v>
      </c>
      <c r="F126" s="81"/>
      <c r="G126" s="81">
        <f t="shared" si="56"/>
        <v>0</v>
      </c>
      <c r="H126" s="81"/>
      <c r="I126" s="81"/>
      <c r="J126" s="81"/>
      <c r="K126" s="81"/>
    </row>
    <row r="127" spans="1:11" x14ac:dyDescent="0.25">
      <c r="A127" s="13" t="s">
        <v>32</v>
      </c>
      <c r="B127" s="63"/>
      <c r="C127" s="63" t="s">
        <v>630</v>
      </c>
      <c r="D127" s="81"/>
      <c r="E127" s="81">
        <f>+'1. melléklet'!H84</f>
        <v>710362</v>
      </c>
      <c r="F127" s="81"/>
      <c r="G127" s="81">
        <f t="shared" si="56"/>
        <v>710362</v>
      </c>
      <c r="H127" s="81"/>
      <c r="I127" s="81"/>
      <c r="J127" s="81"/>
      <c r="K127" s="81"/>
    </row>
    <row r="128" spans="1:11" ht="15" customHeight="1" x14ac:dyDescent="0.25">
      <c r="A128" s="13" t="s">
        <v>33</v>
      </c>
      <c r="B128" s="63"/>
      <c r="C128" s="63" t="s">
        <v>631</v>
      </c>
      <c r="D128" s="81"/>
      <c r="E128" s="81">
        <f>+'1. melléklet'!H85</f>
        <v>0</v>
      </c>
      <c r="F128" s="81"/>
      <c r="G128" s="81">
        <f t="shared" si="56"/>
        <v>0</v>
      </c>
      <c r="H128" s="81"/>
      <c r="I128" s="81"/>
      <c r="J128" s="81"/>
      <c r="K128" s="81"/>
    </row>
    <row r="129" spans="1:11" x14ac:dyDescent="0.25">
      <c r="A129" s="13" t="s">
        <v>34</v>
      </c>
      <c r="B129" s="63"/>
      <c r="C129" s="63" t="s">
        <v>632</v>
      </c>
      <c r="D129" s="81"/>
      <c r="E129" s="81">
        <v>402972940</v>
      </c>
      <c r="F129" s="81"/>
      <c r="G129" s="81">
        <f t="shared" si="56"/>
        <v>402972940</v>
      </c>
      <c r="H129" s="81"/>
      <c r="I129" s="81"/>
      <c r="J129" s="81"/>
      <c r="K129" s="81"/>
    </row>
    <row r="130" spans="1:11" x14ac:dyDescent="0.25">
      <c r="A130" s="13" t="s">
        <v>35</v>
      </c>
      <c r="B130" s="63"/>
      <c r="C130" s="63" t="s">
        <v>633</v>
      </c>
      <c r="D130" s="81"/>
      <c r="E130" s="81">
        <f>+'1. melléklet'!H88</f>
        <v>0</v>
      </c>
      <c r="F130" s="81"/>
      <c r="G130" s="81">
        <f t="shared" si="56"/>
        <v>0</v>
      </c>
      <c r="H130" s="81"/>
      <c r="I130" s="81"/>
      <c r="J130" s="81"/>
      <c r="K130" s="81"/>
    </row>
    <row r="131" spans="1:11" x14ac:dyDescent="0.25">
      <c r="A131" s="13" t="s">
        <v>36</v>
      </c>
      <c r="B131" s="140" t="s">
        <v>654</v>
      </c>
      <c r="C131" s="141"/>
      <c r="D131" s="96">
        <f>SUM(D125:D130)</f>
        <v>0</v>
      </c>
      <c r="E131" s="96">
        <f t="shared" ref="E131:K131" si="57">SUM(E125:E130)</f>
        <v>403683302</v>
      </c>
      <c r="F131" s="96">
        <f t="shared" si="57"/>
        <v>0</v>
      </c>
      <c r="G131" s="96">
        <f t="shared" si="57"/>
        <v>403683302</v>
      </c>
      <c r="H131" s="96">
        <f t="shared" si="57"/>
        <v>0</v>
      </c>
      <c r="I131" s="96">
        <f t="shared" si="57"/>
        <v>0</v>
      </c>
      <c r="J131" s="96">
        <f t="shared" si="57"/>
        <v>0</v>
      </c>
      <c r="K131" s="96">
        <f t="shared" si="57"/>
        <v>0</v>
      </c>
    </row>
    <row r="132" spans="1:11" x14ac:dyDescent="0.25">
      <c r="A132" s="13" t="s">
        <v>37</v>
      </c>
      <c r="B132" s="142" t="s">
        <v>655</v>
      </c>
      <c r="C132" s="143"/>
      <c r="D132" s="97">
        <f>+D123+D131</f>
        <v>0</v>
      </c>
      <c r="E132" s="97">
        <f t="shared" ref="E132:K132" si="58">+E123+E131</f>
        <v>406607296</v>
      </c>
      <c r="F132" s="97">
        <f t="shared" si="58"/>
        <v>0</v>
      </c>
      <c r="G132" s="97">
        <f t="shared" si="58"/>
        <v>406607296</v>
      </c>
      <c r="H132" s="97">
        <f t="shared" si="58"/>
        <v>0</v>
      </c>
      <c r="I132" s="97">
        <f t="shared" si="58"/>
        <v>0</v>
      </c>
      <c r="J132" s="97">
        <f t="shared" si="58"/>
        <v>0</v>
      </c>
      <c r="K132" s="97">
        <f t="shared" si="58"/>
        <v>0</v>
      </c>
    </row>
    <row r="133" spans="1:11" ht="16.5" customHeight="1" x14ac:dyDescent="0.25"/>
    <row r="134" spans="1:11" ht="45.75" customHeight="1" x14ac:dyDescent="0.25">
      <c r="A134" s="115" t="s">
        <v>0</v>
      </c>
      <c r="B134" s="134" t="s">
        <v>615</v>
      </c>
      <c r="C134" s="135"/>
      <c r="D134" s="160" t="s">
        <v>650</v>
      </c>
      <c r="E134" s="161"/>
      <c r="F134" s="145"/>
      <c r="G134" s="146"/>
      <c r="H134" s="160" t="s">
        <v>650</v>
      </c>
      <c r="I134" s="161"/>
      <c r="J134" s="145"/>
      <c r="K134" s="146"/>
    </row>
    <row r="135" spans="1:11" ht="30" customHeight="1" x14ac:dyDescent="0.25">
      <c r="A135" s="115"/>
      <c r="B135" s="165"/>
      <c r="C135" s="166"/>
      <c r="D135" s="34" t="s">
        <v>608</v>
      </c>
      <c r="E135" s="34" t="s">
        <v>606</v>
      </c>
      <c r="F135" s="34" t="s">
        <v>607</v>
      </c>
      <c r="G135" s="34" t="s">
        <v>505</v>
      </c>
      <c r="H135" s="34" t="s">
        <v>608</v>
      </c>
      <c r="I135" s="34" t="s">
        <v>606</v>
      </c>
      <c r="J135" s="34" t="s">
        <v>607</v>
      </c>
      <c r="K135" s="34" t="s">
        <v>505</v>
      </c>
    </row>
    <row r="136" spans="1:11" ht="15" customHeight="1" x14ac:dyDescent="0.25">
      <c r="A136" s="115"/>
      <c r="B136" s="136"/>
      <c r="C136" s="137"/>
      <c r="D136" s="144" t="s">
        <v>609</v>
      </c>
      <c r="E136" s="162"/>
      <c r="F136" s="163"/>
      <c r="G136" s="164"/>
      <c r="H136" s="144" t="s">
        <v>610</v>
      </c>
      <c r="I136" s="156"/>
      <c r="J136" s="145"/>
      <c r="K136" s="146"/>
    </row>
    <row r="137" spans="1:11" ht="16.5" customHeight="1" x14ac:dyDescent="0.25">
      <c r="A137" s="13" t="s">
        <v>17</v>
      </c>
      <c r="B137" s="132" t="s">
        <v>636</v>
      </c>
      <c r="C137" s="133"/>
      <c r="D137" s="96"/>
      <c r="E137" s="96"/>
      <c r="F137" s="96"/>
      <c r="G137" s="96"/>
      <c r="H137" s="96"/>
      <c r="I137" s="96"/>
      <c r="J137" s="96"/>
      <c r="K137" s="96"/>
    </row>
    <row r="138" spans="1:11" ht="16.5" customHeight="1" x14ac:dyDescent="0.25">
      <c r="A138" s="13" t="s">
        <v>18</v>
      </c>
      <c r="B138" s="7"/>
      <c r="C138" s="7" t="s">
        <v>49</v>
      </c>
      <c r="D138" s="81"/>
      <c r="E138" s="81">
        <f>+'2. melléklet'!H28</f>
        <v>309769015</v>
      </c>
      <c r="F138" s="81"/>
      <c r="G138" s="81">
        <f t="shared" ref="G138:G142" si="59">+D138+E138+F138</f>
        <v>309769015</v>
      </c>
      <c r="H138" s="81"/>
      <c r="I138" s="81"/>
      <c r="J138" s="81"/>
      <c r="K138" s="81"/>
    </row>
    <row r="139" spans="1:11" ht="16.5" customHeight="1" x14ac:dyDescent="0.25">
      <c r="A139" s="13" t="s">
        <v>19</v>
      </c>
      <c r="B139" s="7"/>
      <c r="C139" s="7" t="s">
        <v>50</v>
      </c>
      <c r="D139" s="81"/>
      <c r="E139" s="81">
        <f>+'2. melléklet'!H29</f>
        <v>37453284</v>
      </c>
      <c r="F139" s="81"/>
      <c r="G139" s="81">
        <f t="shared" si="59"/>
        <v>37453284</v>
      </c>
      <c r="H139" s="81"/>
      <c r="I139" s="81"/>
      <c r="J139" s="81"/>
      <c r="K139" s="81"/>
    </row>
    <row r="140" spans="1:11" ht="16.5" customHeight="1" x14ac:dyDescent="0.25">
      <c r="A140" s="13" t="s">
        <v>20</v>
      </c>
      <c r="B140" s="7"/>
      <c r="C140" s="7" t="s">
        <v>637</v>
      </c>
      <c r="D140" s="81"/>
      <c r="E140" s="81">
        <f>+'2. melléklet'!H56</f>
        <v>57385000</v>
      </c>
      <c r="F140" s="81"/>
      <c r="G140" s="81">
        <f t="shared" si="59"/>
        <v>57385000</v>
      </c>
      <c r="H140" s="81"/>
      <c r="I140" s="81"/>
      <c r="J140" s="81"/>
      <c r="K140" s="81"/>
    </row>
    <row r="141" spans="1:11" ht="16.5" customHeight="1" x14ac:dyDescent="0.25">
      <c r="A141" s="13" t="s">
        <v>21</v>
      </c>
      <c r="B141" s="7"/>
      <c r="C141" s="7" t="s">
        <v>51</v>
      </c>
      <c r="D141" s="81"/>
      <c r="E141" s="81">
        <f>+'2. melléklet'!H59</f>
        <v>0</v>
      </c>
      <c r="F141" s="81"/>
      <c r="G141" s="81">
        <f t="shared" si="59"/>
        <v>0</v>
      </c>
      <c r="H141" s="81"/>
      <c r="I141" s="81"/>
      <c r="J141" s="81"/>
      <c r="K141" s="81"/>
    </row>
    <row r="142" spans="1:11" ht="16.5" customHeight="1" x14ac:dyDescent="0.25">
      <c r="A142" s="13" t="s">
        <v>22</v>
      </c>
      <c r="B142" s="7"/>
      <c r="C142" s="7" t="s">
        <v>613</v>
      </c>
      <c r="D142" s="81"/>
      <c r="E142" s="81">
        <f>+'2. melléklet'!H74</f>
        <v>0</v>
      </c>
      <c r="F142" s="81"/>
      <c r="G142" s="81">
        <f t="shared" si="59"/>
        <v>0</v>
      </c>
      <c r="H142" s="81"/>
      <c r="I142" s="81"/>
      <c r="J142" s="81"/>
      <c r="K142" s="81"/>
    </row>
    <row r="143" spans="1:11" ht="16.5" customHeight="1" x14ac:dyDescent="0.25">
      <c r="A143" s="13" t="s">
        <v>23</v>
      </c>
      <c r="B143" s="7"/>
      <c r="C143" s="43" t="s">
        <v>638</v>
      </c>
      <c r="D143" s="96">
        <f>SUM(D138:D142)</f>
        <v>0</v>
      </c>
      <c r="E143" s="96">
        <f t="shared" ref="E143:K143" si="60">SUM(E138:E142)</f>
        <v>404607299</v>
      </c>
      <c r="F143" s="96">
        <f t="shared" si="60"/>
        <v>0</v>
      </c>
      <c r="G143" s="96">
        <f t="shared" si="60"/>
        <v>404607299</v>
      </c>
      <c r="H143" s="96">
        <f t="shared" si="60"/>
        <v>0</v>
      </c>
      <c r="I143" s="96">
        <f t="shared" si="60"/>
        <v>0</v>
      </c>
      <c r="J143" s="96">
        <f t="shared" si="60"/>
        <v>0</v>
      </c>
      <c r="K143" s="96">
        <f t="shared" si="60"/>
        <v>0</v>
      </c>
    </row>
    <row r="144" spans="1:11" ht="16.5" customHeight="1" x14ac:dyDescent="0.25">
      <c r="A144" s="13" t="s">
        <v>24</v>
      </c>
      <c r="B144" s="132" t="s">
        <v>639</v>
      </c>
      <c r="C144" s="132"/>
      <c r="D144" s="96"/>
      <c r="E144" s="96"/>
      <c r="F144" s="96"/>
      <c r="G144" s="96"/>
      <c r="H144" s="96"/>
      <c r="I144" s="96"/>
      <c r="J144" s="96"/>
      <c r="K144" s="96"/>
    </row>
    <row r="145" spans="1:11" ht="16.5" customHeight="1" x14ac:dyDescent="0.25">
      <c r="A145" s="13" t="s">
        <v>25</v>
      </c>
      <c r="B145" s="7"/>
      <c r="C145" s="7" t="s">
        <v>540</v>
      </c>
      <c r="D145" s="81"/>
      <c r="E145" s="81">
        <f>+'2. melléklet'!H80</f>
        <v>1999997.27</v>
      </c>
      <c r="F145" s="81"/>
      <c r="G145" s="81">
        <f t="shared" ref="G145:G147" si="61">+D145+E145+F145</f>
        <v>1999997.27</v>
      </c>
      <c r="H145" s="81"/>
      <c r="I145" s="81"/>
      <c r="J145" s="81"/>
      <c r="K145" s="81"/>
    </row>
    <row r="146" spans="1:11" ht="16.5" customHeight="1" x14ac:dyDescent="0.25">
      <c r="A146" s="13" t="s">
        <v>26</v>
      </c>
      <c r="B146" s="7"/>
      <c r="C146" s="7" t="s">
        <v>541</v>
      </c>
      <c r="D146" s="81"/>
      <c r="E146" s="81">
        <f>+'2. melléklet'!H85</f>
        <v>0</v>
      </c>
      <c r="F146" s="81"/>
      <c r="G146" s="81">
        <f t="shared" si="61"/>
        <v>0</v>
      </c>
      <c r="H146" s="81"/>
      <c r="I146" s="81"/>
      <c r="J146" s="81"/>
      <c r="K146" s="81"/>
    </row>
    <row r="147" spans="1:11" ht="16.5" customHeight="1" x14ac:dyDescent="0.25">
      <c r="A147" s="13" t="s">
        <v>27</v>
      </c>
      <c r="B147" s="7"/>
      <c r="C147" s="7" t="s">
        <v>640</v>
      </c>
      <c r="D147" s="81"/>
      <c r="E147" s="81">
        <f>+'2. melléklet'!H93</f>
        <v>0</v>
      </c>
      <c r="F147" s="81"/>
      <c r="G147" s="81">
        <f t="shared" si="61"/>
        <v>0</v>
      </c>
      <c r="H147" s="81"/>
      <c r="I147" s="81"/>
      <c r="J147" s="81"/>
      <c r="K147" s="81"/>
    </row>
    <row r="148" spans="1:11" ht="16.5" customHeight="1" x14ac:dyDescent="0.25">
      <c r="A148" s="13" t="s">
        <v>28</v>
      </c>
      <c r="B148" s="7"/>
      <c r="C148" s="43" t="s">
        <v>641</v>
      </c>
      <c r="D148" s="96">
        <f>SUM(D145:D147)</f>
        <v>0</v>
      </c>
      <c r="E148" s="96">
        <f t="shared" ref="E148:K148" si="62">SUM(E145:E147)</f>
        <v>1999997.27</v>
      </c>
      <c r="F148" s="96">
        <f t="shared" si="62"/>
        <v>0</v>
      </c>
      <c r="G148" s="96">
        <f t="shared" si="62"/>
        <v>1999997.27</v>
      </c>
      <c r="H148" s="96">
        <f t="shared" si="62"/>
        <v>0</v>
      </c>
      <c r="I148" s="96">
        <f t="shared" si="62"/>
        <v>0</v>
      </c>
      <c r="J148" s="96">
        <f t="shared" si="62"/>
        <v>0</v>
      </c>
      <c r="K148" s="96">
        <f t="shared" si="62"/>
        <v>0</v>
      </c>
    </row>
    <row r="149" spans="1:11" ht="16.5" customHeight="1" x14ac:dyDescent="0.25">
      <c r="A149" s="13" t="s">
        <v>29</v>
      </c>
      <c r="B149" s="132" t="s">
        <v>642</v>
      </c>
      <c r="C149" s="132"/>
      <c r="D149" s="96">
        <f>+D143+D148</f>
        <v>0</v>
      </c>
      <c r="E149" s="96">
        <f t="shared" ref="E149:K149" si="63">+E143+E148</f>
        <v>406607296.26999998</v>
      </c>
      <c r="F149" s="96">
        <f t="shared" si="63"/>
        <v>0</v>
      </c>
      <c r="G149" s="96">
        <f t="shared" si="63"/>
        <v>406607296.26999998</v>
      </c>
      <c r="H149" s="96">
        <f t="shared" si="63"/>
        <v>0</v>
      </c>
      <c r="I149" s="96">
        <f t="shared" si="63"/>
        <v>0</v>
      </c>
      <c r="J149" s="96">
        <f t="shared" si="63"/>
        <v>0</v>
      </c>
      <c r="K149" s="96">
        <f t="shared" si="63"/>
        <v>0</v>
      </c>
    </row>
    <row r="150" spans="1:11" ht="16.5" customHeight="1" x14ac:dyDescent="0.25">
      <c r="A150" s="13" t="s">
        <v>30</v>
      </c>
      <c r="B150" s="132" t="s">
        <v>55</v>
      </c>
      <c r="C150" s="133"/>
      <c r="D150" s="96"/>
      <c r="E150" s="96"/>
      <c r="F150" s="96"/>
      <c r="G150" s="96"/>
      <c r="H150" s="96"/>
      <c r="I150" s="96"/>
      <c r="J150" s="96"/>
      <c r="K150" s="96"/>
    </row>
    <row r="151" spans="1:11" ht="16.5" customHeight="1" x14ac:dyDescent="0.25">
      <c r="A151" s="13" t="s">
        <v>31</v>
      </c>
      <c r="B151" s="7"/>
      <c r="C151" s="7" t="s">
        <v>643</v>
      </c>
      <c r="D151" s="81"/>
      <c r="E151" s="81"/>
      <c r="F151" s="81"/>
      <c r="G151" s="81">
        <f t="shared" ref="G151:G154" si="64">+D151+E151+F151</f>
        <v>0</v>
      </c>
      <c r="H151" s="81"/>
      <c r="I151" s="81"/>
      <c r="J151" s="81"/>
      <c r="K151" s="81"/>
    </row>
    <row r="152" spans="1:11" ht="16.5" customHeight="1" x14ac:dyDescent="0.25">
      <c r="A152" s="13" t="s">
        <v>32</v>
      </c>
      <c r="B152" s="7"/>
      <c r="C152" s="7" t="s">
        <v>452</v>
      </c>
      <c r="D152" s="81"/>
      <c r="E152" s="81"/>
      <c r="F152" s="81"/>
      <c r="G152" s="81">
        <f t="shared" si="64"/>
        <v>0</v>
      </c>
      <c r="H152" s="81"/>
      <c r="I152" s="81"/>
      <c r="J152" s="81"/>
      <c r="K152" s="81"/>
    </row>
    <row r="153" spans="1:11" ht="16.5" customHeight="1" x14ac:dyDescent="0.25">
      <c r="A153" s="13" t="s">
        <v>33</v>
      </c>
      <c r="B153" s="7"/>
      <c r="C153" s="7" t="s">
        <v>644</v>
      </c>
      <c r="D153" s="81"/>
      <c r="E153" s="81"/>
      <c r="F153" s="81"/>
      <c r="G153" s="81">
        <f t="shared" si="64"/>
        <v>0</v>
      </c>
      <c r="H153" s="81"/>
      <c r="I153" s="81"/>
      <c r="J153" s="81"/>
      <c r="K153" s="81"/>
    </row>
    <row r="154" spans="1:11" ht="16.5" customHeight="1" x14ac:dyDescent="0.25">
      <c r="A154" s="13" t="s">
        <v>34</v>
      </c>
      <c r="B154" s="7"/>
      <c r="C154" s="7" t="s">
        <v>645</v>
      </c>
      <c r="D154" s="81"/>
      <c r="E154" s="81"/>
      <c r="F154" s="81"/>
      <c r="G154" s="81">
        <f t="shared" si="64"/>
        <v>0</v>
      </c>
      <c r="H154" s="81"/>
      <c r="I154" s="81"/>
      <c r="J154" s="81"/>
      <c r="K154" s="81"/>
    </row>
    <row r="155" spans="1:11" ht="16.5" customHeight="1" x14ac:dyDescent="0.25">
      <c r="A155" s="13" t="s">
        <v>35</v>
      </c>
      <c r="B155" s="43" t="s">
        <v>646</v>
      </c>
      <c r="C155" s="43"/>
      <c r="D155" s="96">
        <f>SUM(D151:D154)</f>
        <v>0</v>
      </c>
      <c r="E155" s="96">
        <f t="shared" ref="E155:K155" si="65">SUM(E151:E154)</f>
        <v>0</v>
      </c>
      <c r="F155" s="96">
        <f t="shared" si="65"/>
        <v>0</v>
      </c>
      <c r="G155" s="96">
        <f t="shared" si="65"/>
        <v>0</v>
      </c>
      <c r="H155" s="96">
        <f t="shared" si="65"/>
        <v>0</v>
      </c>
      <c r="I155" s="96">
        <f t="shared" si="65"/>
        <v>0</v>
      </c>
      <c r="J155" s="96">
        <f t="shared" si="65"/>
        <v>0</v>
      </c>
      <c r="K155" s="96">
        <f t="shared" si="65"/>
        <v>0</v>
      </c>
    </row>
    <row r="156" spans="1:11" ht="16.5" customHeight="1" x14ac:dyDescent="0.25">
      <c r="A156" s="13" t="s">
        <v>36</v>
      </c>
      <c r="B156" s="153" t="s">
        <v>647</v>
      </c>
      <c r="C156" s="154"/>
      <c r="D156" s="97">
        <f>+D149+D155</f>
        <v>0</v>
      </c>
      <c r="E156" s="97">
        <f t="shared" ref="E156:K156" si="66">+E149+E155</f>
        <v>406607296.26999998</v>
      </c>
      <c r="F156" s="97">
        <f t="shared" si="66"/>
        <v>0</v>
      </c>
      <c r="G156" s="97">
        <f t="shared" si="66"/>
        <v>406607296.26999998</v>
      </c>
      <c r="H156" s="97">
        <f t="shared" si="66"/>
        <v>0</v>
      </c>
      <c r="I156" s="97">
        <f t="shared" si="66"/>
        <v>0</v>
      </c>
      <c r="J156" s="97">
        <f t="shared" si="66"/>
        <v>0</v>
      </c>
      <c r="K156" s="97">
        <f t="shared" si="66"/>
        <v>0</v>
      </c>
    </row>
    <row r="157" spans="1:11" ht="16.5" customHeight="1" x14ac:dyDescent="0.25">
      <c r="A157" s="13" t="s">
        <v>37</v>
      </c>
      <c r="B157" s="61"/>
      <c r="C157" s="60"/>
      <c r="D157" s="81"/>
      <c r="E157" s="81"/>
      <c r="F157" s="81"/>
      <c r="G157" s="81"/>
      <c r="H157" s="81"/>
      <c r="I157" s="81"/>
      <c r="J157" s="81"/>
      <c r="K157" s="81"/>
    </row>
    <row r="158" spans="1:11" ht="16.5" customHeight="1" x14ac:dyDescent="0.25">
      <c r="A158" s="13" t="s">
        <v>38</v>
      </c>
      <c r="B158" s="155" t="s">
        <v>648</v>
      </c>
      <c r="C158" s="149"/>
      <c r="D158" s="89">
        <f>+D132-D156</f>
        <v>0</v>
      </c>
      <c r="E158" s="89">
        <f t="shared" ref="E158:K158" si="67">+E132-E156</f>
        <v>-0.26999998092651367</v>
      </c>
      <c r="F158" s="89">
        <f t="shared" si="67"/>
        <v>0</v>
      </c>
      <c r="G158" s="89">
        <f t="shared" si="67"/>
        <v>-0.26999998092651367</v>
      </c>
      <c r="H158" s="89">
        <f t="shared" si="67"/>
        <v>0</v>
      </c>
      <c r="I158" s="89">
        <f t="shared" si="67"/>
        <v>0</v>
      </c>
      <c r="J158" s="89">
        <f t="shared" si="67"/>
        <v>0</v>
      </c>
      <c r="K158" s="89">
        <f t="shared" si="67"/>
        <v>0</v>
      </c>
    </row>
  </sheetData>
  <mergeCells count="74">
    <mergeCell ref="B4:C4"/>
    <mergeCell ref="B5:C7"/>
    <mergeCell ref="B30:C32"/>
    <mergeCell ref="B57:C59"/>
    <mergeCell ref="B82:C84"/>
    <mergeCell ref="B8:C8"/>
    <mergeCell ref="B52:C52"/>
    <mergeCell ref="B54:C54"/>
    <mergeCell ref="B14:C14"/>
    <mergeCell ref="B19:C19"/>
    <mergeCell ref="B20:C20"/>
    <mergeCell ref="B27:C27"/>
    <mergeCell ref="B28:C28"/>
    <mergeCell ref="B72:C72"/>
    <mergeCell ref="B80:C80"/>
    <mergeCell ref="B60:C60"/>
    <mergeCell ref="H59:K59"/>
    <mergeCell ref="A30:A32"/>
    <mergeCell ref="D30:G30"/>
    <mergeCell ref="H30:K30"/>
    <mergeCell ref="D32:G32"/>
    <mergeCell ref="H32:K32"/>
    <mergeCell ref="A57:A59"/>
    <mergeCell ref="D57:G57"/>
    <mergeCell ref="H57:K57"/>
    <mergeCell ref="D59:G59"/>
    <mergeCell ref="B33:C33"/>
    <mergeCell ref="B40:C40"/>
    <mergeCell ref="B45:C45"/>
    <mergeCell ref="B46:C46"/>
    <mergeCell ref="H5:K5"/>
    <mergeCell ref="D7:G7"/>
    <mergeCell ref="H7:K7"/>
    <mergeCell ref="A5:A7"/>
    <mergeCell ref="D5:G5"/>
    <mergeCell ref="B104:C104"/>
    <mergeCell ref="A82:A84"/>
    <mergeCell ref="D82:G82"/>
    <mergeCell ref="H82:K82"/>
    <mergeCell ref="D84:G84"/>
    <mergeCell ref="H84:K84"/>
    <mergeCell ref="B79:C79"/>
    <mergeCell ref="B85:C85"/>
    <mergeCell ref="B92:C92"/>
    <mergeCell ref="B97:C97"/>
    <mergeCell ref="B98:C98"/>
    <mergeCell ref="A109:A111"/>
    <mergeCell ref="D109:G109"/>
    <mergeCell ref="H109:K109"/>
    <mergeCell ref="D111:G111"/>
    <mergeCell ref="H111:K111"/>
    <mergeCell ref="B109:C111"/>
    <mergeCell ref="A134:A136"/>
    <mergeCell ref="D134:G134"/>
    <mergeCell ref="H134:K134"/>
    <mergeCell ref="D136:G136"/>
    <mergeCell ref="H136:K136"/>
    <mergeCell ref="B134:C136"/>
    <mergeCell ref="B158:C158"/>
    <mergeCell ref="B51:C51"/>
    <mergeCell ref="B137:C137"/>
    <mergeCell ref="B144:C144"/>
    <mergeCell ref="B149:C149"/>
    <mergeCell ref="B150:C150"/>
    <mergeCell ref="B156:C156"/>
    <mergeCell ref="B132:C132"/>
    <mergeCell ref="B112:C112"/>
    <mergeCell ref="B118:C118"/>
    <mergeCell ref="B123:C123"/>
    <mergeCell ref="B124:C124"/>
    <mergeCell ref="B131:C131"/>
    <mergeCell ref="B106:C106"/>
    <mergeCell ref="B66:C66"/>
    <mergeCell ref="B71:C7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E6DF-FB16-4EEF-9ADA-94319F8700D4}">
  <dimension ref="A1:J9"/>
  <sheetViews>
    <sheetView workbookViewId="0">
      <selection activeCell="E21" sqref="E21"/>
    </sheetView>
  </sheetViews>
  <sheetFormatPr defaultRowHeight="15" x14ac:dyDescent="0.25"/>
  <cols>
    <col min="2" max="2" width="49.28515625" customWidth="1"/>
    <col min="3" max="3" width="19.42578125" style="73" customWidth="1"/>
    <col min="4" max="7" width="19.42578125" customWidth="1"/>
    <col min="8" max="11" width="17.140625" customWidth="1"/>
  </cols>
  <sheetData>
    <row r="1" spans="1:10" x14ac:dyDescent="0.25">
      <c r="A1" s="12"/>
      <c r="B1" s="1"/>
      <c r="C1" s="93" t="s">
        <v>57</v>
      </c>
      <c r="D1" s="1"/>
      <c r="E1" s="2"/>
      <c r="F1" s="2"/>
      <c r="G1" s="2" t="s">
        <v>435</v>
      </c>
      <c r="H1" s="2"/>
      <c r="I1" s="2"/>
      <c r="J1" s="2"/>
    </row>
    <row r="2" spans="1:10" x14ac:dyDescent="0.25">
      <c r="C2" s="94" t="s">
        <v>670</v>
      </c>
      <c r="D2" s="12"/>
    </row>
    <row r="4" spans="1:10" x14ac:dyDescent="0.25">
      <c r="A4" s="171" t="s">
        <v>0</v>
      </c>
      <c r="B4" s="152" t="s">
        <v>1</v>
      </c>
      <c r="C4" s="135"/>
      <c r="D4" s="66" t="s">
        <v>2</v>
      </c>
      <c r="E4" s="67" t="s">
        <v>3</v>
      </c>
      <c r="F4" s="13" t="s">
        <v>4</v>
      </c>
      <c r="G4" s="13" t="s">
        <v>5</v>
      </c>
    </row>
    <row r="5" spans="1:10" x14ac:dyDescent="0.25">
      <c r="A5" s="171"/>
      <c r="B5" s="171" t="s">
        <v>10</v>
      </c>
      <c r="C5" s="95" t="s">
        <v>11</v>
      </c>
      <c r="D5" s="13" t="s">
        <v>671</v>
      </c>
      <c r="E5" s="13" t="s">
        <v>672</v>
      </c>
      <c r="F5" s="13" t="s">
        <v>673</v>
      </c>
      <c r="G5" s="13" t="s">
        <v>674</v>
      </c>
    </row>
    <row r="6" spans="1:10" x14ac:dyDescent="0.25">
      <c r="A6" s="171"/>
      <c r="B6" s="172"/>
      <c r="C6" s="171" t="s">
        <v>13</v>
      </c>
      <c r="D6" s="171"/>
      <c r="E6" s="171"/>
      <c r="F6" s="171"/>
      <c r="G6" s="171"/>
    </row>
    <row r="7" spans="1:10" x14ac:dyDescent="0.25">
      <c r="A7" s="6" t="s">
        <v>17</v>
      </c>
      <c r="B7" s="7" t="s">
        <v>675</v>
      </c>
      <c r="C7" s="70">
        <v>10000000</v>
      </c>
      <c r="D7" s="7"/>
      <c r="E7" s="7"/>
      <c r="F7" s="7"/>
      <c r="G7" s="7"/>
    </row>
    <row r="8" spans="1:10" x14ac:dyDescent="0.25">
      <c r="A8" s="6" t="s">
        <v>18</v>
      </c>
      <c r="B8" s="7" t="s">
        <v>676</v>
      </c>
      <c r="C8" s="70"/>
      <c r="D8" s="7"/>
      <c r="E8" s="7"/>
      <c r="F8" s="7"/>
      <c r="G8" s="7"/>
    </row>
    <row r="9" spans="1:10" x14ac:dyDescent="0.25">
      <c r="A9" s="6" t="s">
        <v>19</v>
      </c>
      <c r="B9" s="43" t="s">
        <v>505</v>
      </c>
      <c r="C9" s="71">
        <f>SUM(C7:C8)</f>
        <v>10000000</v>
      </c>
      <c r="D9" s="43">
        <f t="shared" ref="D9:G9" si="0">SUM(D7:D8)</f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</row>
  </sheetData>
  <mergeCells count="4">
    <mergeCell ref="C6:G6"/>
    <mergeCell ref="B4:C4"/>
    <mergeCell ref="B5:B6"/>
    <mergeCell ref="A4:A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458C-0736-498B-8C56-BC0CE9DA8A5F}">
  <sheetPr>
    <pageSetUpPr fitToPage="1"/>
  </sheetPr>
  <dimension ref="A1:L35"/>
  <sheetViews>
    <sheetView workbookViewId="0">
      <pane ySplit="7" topLeftCell="A8" activePane="bottomLeft" state="frozen"/>
      <selection pane="bottomLeft" activeCell="F39" sqref="F39"/>
    </sheetView>
  </sheetViews>
  <sheetFormatPr defaultRowHeight="15" x14ac:dyDescent="0.25"/>
  <cols>
    <col min="1" max="1" width="8.140625" customWidth="1"/>
    <col min="3" max="3" width="40.85546875" customWidth="1"/>
    <col min="4" max="11" width="16.28515625" customWidth="1"/>
    <col min="12" max="12" width="18.28515625" customWidth="1"/>
  </cols>
  <sheetData>
    <row r="1" spans="1:12" x14ac:dyDescent="0.25">
      <c r="A1" s="12"/>
      <c r="B1" s="12"/>
      <c r="C1" s="1"/>
      <c r="D1" s="1" t="s">
        <v>57</v>
      </c>
      <c r="E1" s="2"/>
      <c r="F1" s="2"/>
      <c r="G1" s="2"/>
      <c r="H1" s="2"/>
      <c r="I1" s="2" t="s">
        <v>436</v>
      </c>
      <c r="J1" s="2"/>
    </row>
    <row r="2" spans="1:12" x14ac:dyDescent="0.25">
      <c r="A2" s="12"/>
      <c r="B2" s="12"/>
      <c r="C2" s="5"/>
      <c r="D2" s="9" t="s">
        <v>438</v>
      </c>
    </row>
    <row r="4" spans="1:12" x14ac:dyDescent="0.25">
      <c r="A4" s="160" t="s">
        <v>0</v>
      </c>
      <c r="B4" s="27"/>
      <c r="C4" s="17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59</v>
      </c>
    </row>
    <row r="5" spans="1:12" ht="57" customHeight="1" x14ac:dyDescent="0.25">
      <c r="A5" s="160"/>
      <c r="B5" s="134" t="s">
        <v>10</v>
      </c>
      <c r="C5" s="135"/>
      <c r="D5" s="124" t="s">
        <v>16</v>
      </c>
      <c r="E5" s="124"/>
      <c r="F5" s="124" t="s">
        <v>15</v>
      </c>
      <c r="G5" s="124"/>
      <c r="H5" s="124" t="s">
        <v>14</v>
      </c>
      <c r="I5" s="124"/>
      <c r="J5" s="124" t="s">
        <v>43</v>
      </c>
      <c r="K5" s="124"/>
      <c r="L5" s="115" t="s">
        <v>741</v>
      </c>
    </row>
    <row r="6" spans="1:12" ht="19.5" customHeight="1" x14ac:dyDescent="0.25">
      <c r="A6" s="160"/>
      <c r="B6" s="165"/>
      <c r="C6" s="166"/>
      <c r="D6" s="3" t="s">
        <v>11</v>
      </c>
      <c r="E6" s="3" t="s">
        <v>12</v>
      </c>
      <c r="F6" s="3" t="s">
        <v>11</v>
      </c>
      <c r="G6" s="3" t="s">
        <v>12</v>
      </c>
      <c r="H6" s="3" t="s">
        <v>11</v>
      </c>
      <c r="I6" s="3" t="s">
        <v>12</v>
      </c>
      <c r="J6" s="3" t="s">
        <v>11</v>
      </c>
      <c r="K6" s="3" t="s">
        <v>12</v>
      </c>
      <c r="L6" s="133"/>
    </row>
    <row r="7" spans="1:12" ht="18.75" customHeight="1" x14ac:dyDescent="0.25">
      <c r="A7" s="160"/>
      <c r="B7" s="136"/>
      <c r="C7" s="137"/>
      <c r="D7" s="123" t="s">
        <v>13</v>
      </c>
      <c r="E7" s="128"/>
      <c r="F7" s="123" t="s">
        <v>13</v>
      </c>
      <c r="G7" s="123"/>
      <c r="H7" s="123" t="s">
        <v>13</v>
      </c>
      <c r="I7" s="123"/>
      <c r="J7" s="123" t="s">
        <v>13</v>
      </c>
      <c r="K7" s="123"/>
      <c r="L7" s="7"/>
    </row>
    <row r="8" spans="1:12" ht="27" customHeight="1" x14ac:dyDescent="0.25">
      <c r="A8" s="6" t="s">
        <v>17</v>
      </c>
      <c r="B8" s="178" t="s">
        <v>321</v>
      </c>
      <c r="C8" s="178"/>
      <c r="D8" s="178"/>
      <c r="E8" s="178"/>
      <c r="F8" s="178"/>
      <c r="G8" s="178"/>
      <c r="H8" s="178"/>
      <c r="I8" s="178"/>
      <c r="J8" s="178"/>
      <c r="K8" s="178"/>
      <c r="L8" s="172"/>
    </row>
    <row r="9" spans="1:12" x14ac:dyDescent="0.25">
      <c r="A9" s="6" t="s">
        <v>19</v>
      </c>
      <c r="B9" s="85"/>
      <c r="C9" s="85"/>
      <c r="D9" s="85"/>
      <c r="E9" s="85"/>
      <c r="F9" s="85"/>
      <c r="G9" s="85"/>
      <c r="H9" s="85"/>
      <c r="I9" s="85"/>
      <c r="J9" s="85">
        <f>+D9+F9+H9</f>
        <v>0</v>
      </c>
      <c r="K9" s="85">
        <f>+E9+G9+I9</f>
        <v>0</v>
      </c>
      <c r="L9" s="70"/>
    </row>
    <row r="10" spans="1:12" ht="27" customHeight="1" x14ac:dyDescent="0.25">
      <c r="A10" s="6" t="s">
        <v>20</v>
      </c>
      <c r="B10" s="173" t="s">
        <v>430</v>
      </c>
      <c r="C10" s="177"/>
      <c r="D10" s="87">
        <f t="shared" ref="D10:L10" si="0">SUM(D9:D9)</f>
        <v>0</v>
      </c>
      <c r="E10" s="87">
        <f t="shared" si="0"/>
        <v>0</v>
      </c>
      <c r="F10" s="87">
        <f t="shared" si="0"/>
        <v>0</v>
      </c>
      <c r="G10" s="87">
        <f t="shared" si="0"/>
        <v>0</v>
      </c>
      <c r="H10" s="87">
        <f t="shared" si="0"/>
        <v>0</v>
      </c>
      <c r="I10" s="87">
        <f t="shared" si="0"/>
        <v>0</v>
      </c>
      <c r="J10" s="87">
        <f t="shared" si="0"/>
        <v>0</v>
      </c>
      <c r="K10" s="87">
        <f t="shared" si="0"/>
        <v>0</v>
      </c>
      <c r="L10" s="87">
        <f t="shared" si="0"/>
        <v>0</v>
      </c>
    </row>
    <row r="11" spans="1:12" ht="27" customHeight="1" x14ac:dyDescent="0.25">
      <c r="A11" s="6" t="s">
        <v>21</v>
      </c>
      <c r="B11" s="179" t="s">
        <v>322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2"/>
    </row>
    <row r="12" spans="1:12" x14ac:dyDescent="0.25">
      <c r="A12" s="6" t="s">
        <v>22</v>
      </c>
      <c r="B12" s="91"/>
      <c r="C12" s="91" t="s">
        <v>703</v>
      </c>
      <c r="D12" s="91">
        <v>240393000</v>
      </c>
      <c r="E12" s="91"/>
      <c r="F12" s="91"/>
      <c r="G12" s="91"/>
      <c r="H12" s="91"/>
      <c r="I12" s="91"/>
      <c r="J12" s="91">
        <f t="shared" ref="J12:J20" si="1">+D12+F12+H12</f>
        <v>240393000</v>
      </c>
      <c r="K12" s="91">
        <f t="shared" ref="K12:K20" si="2">+E12+G12+I12</f>
        <v>0</v>
      </c>
      <c r="L12" s="70"/>
    </row>
    <row r="13" spans="1:12" ht="30" x14ac:dyDescent="0.25">
      <c r="A13" s="6" t="s">
        <v>23</v>
      </c>
      <c r="B13" s="85"/>
      <c r="C13" s="8" t="s">
        <v>731</v>
      </c>
      <c r="D13" s="85">
        <v>75651000</v>
      </c>
      <c r="E13" s="85"/>
      <c r="F13" s="85"/>
      <c r="G13" s="85"/>
      <c r="H13" s="85"/>
      <c r="I13" s="85"/>
      <c r="J13" s="85">
        <f t="shared" si="1"/>
        <v>75651000</v>
      </c>
      <c r="K13" s="85">
        <f t="shared" si="2"/>
        <v>0</v>
      </c>
      <c r="L13" s="70"/>
    </row>
    <row r="14" spans="1:12" ht="45" x14ac:dyDescent="0.25">
      <c r="A14" s="6"/>
      <c r="B14" s="85"/>
      <c r="C14" s="8" t="s">
        <v>732</v>
      </c>
      <c r="D14" s="85">
        <v>127988200</v>
      </c>
      <c r="E14" s="85"/>
      <c r="F14" s="85"/>
      <c r="G14" s="85"/>
      <c r="H14" s="85"/>
      <c r="I14" s="85"/>
      <c r="J14" s="85">
        <f t="shared" si="1"/>
        <v>127988200</v>
      </c>
      <c r="K14" s="85">
        <f t="shared" si="2"/>
        <v>0</v>
      </c>
      <c r="L14" s="70"/>
    </row>
    <row r="15" spans="1:12" x14ac:dyDescent="0.25">
      <c r="A15" s="6"/>
      <c r="B15" s="85"/>
      <c r="C15" s="8" t="s">
        <v>733</v>
      </c>
      <c r="D15" s="85">
        <f>38280539-19140270</f>
        <v>19140269</v>
      </c>
      <c r="E15" s="85"/>
      <c r="F15" s="85"/>
      <c r="G15" s="85"/>
      <c r="H15" s="85"/>
      <c r="I15" s="85"/>
      <c r="J15" s="85">
        <f t="shared" si="1"/>
        <v>19140269</v>
      </c>
      <c r="K15" s="85">
        <f t="shared" si="2"/>
        <v>0</v>
      </c>
      <c r="L15" s="70">
        <v>19140270</v>
      </c>
    </row>
    <row r="16" spans="1:12" x14ac:dyDescent="0.25">
      <c r="A16" s="6"/>
      <c r="B16" s="85"/>
      <c r="C16" s="8" t="s">
        <v>734</v>
      </c>
      <c r="D16" s="85">
        <f>3155124+1586599+1270000</f>
        <v>6011723</v>
      </c>
      <c r="E16" s="85"/>
      <c r="F16" s="85"/>
      <c r="G16" s="85"/>
      <c r="H16" s="85"/>
      <c r="I16" s="85"/>
      <c r="J16" s="85">
        <f t="shared" si="1"/>
        <v>6011723</v>
      </c>
      <c r="K16" s="85">
        <f t="shared" si="2"/>
        <v>0</v>
      </c>
      <c r="L16" s="70">
        <f>3155125+1586598</f>
        <v>4741723</v>
      </c>
    </row>
    <row r="17" spans="1:12" ht="30" x14ac:dyDescent="0.25">
      <c r="A17" s="6"/>
      <c r="B17" s="85"/>
      <c r="C17" s="8" t="s">
        <v>735</v>
      </c>
      <c r="D17" s="85">
        <f>2694407+100000</f>
        <v>2794407</v>
      </c>
      <c r="E17" s="85"/>
      <c r="F17" s="85"/>
      <c r="G17" s="85"/>
      <c r="H17" s="85"/>
      <c r="I17" s="85"/>
      <c r="J17" s="85">
        <f t="shared" si="1"/>
        <v>2794407</v>
      </c>
      <c r="K17" s="85">
        <f t="shared" si="2"/>
        <v>0</v>
      </c>
      <c r="L17" s="70">
        <v>2997264</v>
      </c>
    </row>
    <row r="18" spans="1:12" x14ac:dyDescent="0.25">
      <c r="A18" s="6"/>
      <c r="B18" s="85"/>
      <c r="C18" s="8" t="s">
        <v>739</v>
      </c>
      <c r="D18" s="85">
        <v>11500000</v>
      </c>
      <c r="E18" s="85"/>
      <c r="F18" s="85"/>
      <c r="G18" s="85"/>
      <c r="H18" s="85"/>
      <c r="I18" s="85"/>
      <c r="J18" s="85">
        <f t="shared" si="1"/>
        <v>11500000</v>
      </c>
      <c r="K18" s="85"/>
      <c r="L18" s="70"/>
    </row>
    <row r="19" spans="1:12" x14ac:dyDescent="0.25">
      <c r="A19" s="6"/>
      <c r="B19" s="85"/>
      <c r="C19" s="8" t="s">
        <v>746</v>
      </c>
      <c r="D19" s="85">
        <v>500000</v>
      </c>
      <c r="E19" s="85"/>
      <c r="F19" s="85"/>
      <c r="G19" s="85"/>
      <c r="H19" s="85"/>
      <c r="I19" s="85"/>
      <c r="J19" s="85">
        <f t="shared" si="1"/>
        <v>500000</v>
      </c>
      <c r="K19" s="85">
        <f t="shared" si="2"/>
        <v>0</v>
      </c>
      <c r="L19" s="70"/>
    </row>
    <row r="20" spans="1:12" x14ac:dyDescent="0.25">
      <c r="A20" s="6" t="s">
        <v>27</v>
      </c>
      <c r="B20" s="85"/>
      <c r="C20" s="85"/>
      <c r="D20" s="85"/>
      <c r="E20" s="85"/>
      <c r="F20" s="85"/>
      <c r="G20" s="85"/>
      <c r="H20" s="85"/>
      <c r="I20" s="85"/>
      <c r="J20" s="85">
        <f t="shared" si="1"/>
        <v>0</v>
      </c>
      <c r="K20" s="85">
        <f t="shared" si="2"/>
        <v>0</v>
      </c>
      <c r="L20" s="70"/>
    </row>
    <row r="21" spans="1:12" ht="27" customHeight="1" x14ac:dyDescent="0.25">
      <c r="A21" s="6" t="s">
        <v>28</v>
      </c>
      <c r="B21" s="173" t="s">
        <v>431</v>
      </c>
      <c r="C21" s="177"/>
      <c r="D21" s="87">
        <f t="shared" ref="D21:L21" si="3">SUM(D12:D20)</f>
        <v>483978599</v>
      </c>
      <c r="E21" s="87">
        <f t="shared" si="3"/>
        <v>0</v>
      </c>
      <c r="F21" s="87">
        <f t="shared" si="3"/>
        <v>0</v>
      </c>
      <c r="G21" s="87">
        <f t="shared" si="3"/>
        <v>0</v>
      </c>
      <c r="H21" s="87">
        <f t="shared" si="3"/>
        <v>0</v>
      </c>
      <c r="I21" s="87">
        <f t="shared" si="3"/>
        <v>0</v>
      </c>
      <c r="J21" s="87">
        <f t="shared" si="3"/>
        <v>483978599</v>
      </c>
      <c r="K21" s="87">
        <f t="shared" si="3"/>
        <v>0</v>
      </c>
      <c r="L21" s="87">
        <f t="shared" si="3"/>
        <v>26879257</v>
      </c>
    </row>
    <row r="22" spans="1:12" ht="27" customHeight="1" x14ac:dyDescent="0.25">
      <c r="A22" s="6" t="s">
        <v>29</v>
      </c>
      <c r="B22" s="179" t="s">
        <v>323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2"/>
    </row>
    <row r="23" spans="1:12" x14ac:dyDescent="0.25">
      <c r="A23" s="6" t="s">
        <v>30</v>
      </c>
      <c r="B23" s="91"/>
      <c r="C23" s="91" t="s">
        <v>742</v>
      </c>
      <c r="D23" s="91"/>
      <c r="E23" s="91"/>
      <c r="F23" s="91"/>
      <c r="G23" s="91"/>
      <c r="H23" s="91">
        <v>500000</v>
      </c>
      <c r="I23" s="91"/>
      <c r="J23" s="91">
        <f t="shared" ref="J23:J24" si="4">+D23+F23+H23</f>
        <v>500000</v>
      </c>
      <c r="K23" s="91">
        <f t="shared" ref="K23:K24" si="5">+E23+G23+I23</f>
        <v>0</v>
      </c>
      <c r="L23" s="70"/>
    </row>
    <row r="24" spans="1:12" ht="30" x14ac:dyDescent="0.25">
      <c r="A24" s="6" t="s">
        <v>31</v>
      </c>
      <c r="B24" s="85"/>
      <c r="C24" s="85" t="s">
        <v>743</v>
      </c>
      <c r="D24" s="85"/>
      <c r="E24" s="85"/>
      <c r="F24" s="85">
        <v>254000</v>
      </c>
      <c r="G24" s="85"/>
      <c r="H24" s="85"/>
      <c r="I24" s="85"/>
      <c r="J24" s="85">
        <f t="shared" si="4"/>
        <v>254000</v>
      </c>
      <c r="K24" s="85">
        <f t="shared" si="5"/>
        <v>0</v>
      </c>
      <c r="L24" s="70"/>
    </row>
    <row r="25" spans="1:12" ht="27" customHeight="1" x14ac:dyDescent="0.25">
      <c r="A25" s="6" t="s">
        <v>32</v>
      </c>
      <c r="B25" s="173" t="s">
        <v>432</v>
      </c>
      <c r="C25" s="177"/>
      <c r="D25" s="87">
        <f>SUM(D23:D24)</f>
        <v>0</v>
      </c>
      <c r="E25" s="87">
        <f t="shared" ref="E25:L25" si="6">SUM(E23:E24)</f>
        <v>0</v>
      </c>
      <c r="F25" s="87">
        <f t="shared" si="6"/>
        <v>254000</v>
      </c>
      <c r="G25" s="87">
        <f t="shared" si="6"/>
        <v>0</v>
      </c>
      <c r="H25" s="87">
        <f t="shared" si="6"/>
        <v>500000</v>
      </c>
      <c r="I25" s="87">
        <f t="shared" si="6"/>
        <v>0</v>
      </c>
      <c r="J25" s="87">
        <f t="shared" si="6"/>
        <v>754000</v>
      </c>
      <c r="K25" s="87">
        <f t="shared" si="6"/>
        <v>0</v>
      </c>
      <c r="L25" s="87">
        <f t="shared" si="6"/>
        <v>0</v>
      </c>
    </row>
    <row r="26" spans="1:12" ht="27" customHeight="1" x14ac:dyDescent="0.25">
      <c r="A26" s="6" t="s">
        <v>33</v>
      </c>
      <c r="B26" s="179" t="s">
        <v>324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2"/>
    </row>
    <row r="27" spans="1:12" x14ac:dyDescent="0.25">
      <c r="A27" s="6" t="s">
        <v>34</v>
      </c>
      <c r="B27" s="91"/>
      <c r="C27" s="91" t="s">
        <v>738</v>
      </c>
      <c r="D27" s="91">
        <v>22000000</v>
      </c>
      <c r="E27" s="91"/>
      <c r="F27" s="91"/>
      <c r="G27" s="91"/>
      <c r="H27" s="91"/>
      <c r="I27" s="91"/>
      <c r="J27" s="91">
        <f t="shared" ref="J27:J33" si="7">+D27+F27+H27</f>
        <v>22000000</v>
      </c>
      <c r="K27" s="91">
        <f t="shared" ref="K27:K33" si="8">+E27+G27+I27</f>
        <v>0</v>
      </c>
      <c r="L27" s="70"/>
    </row>
    <row r="28" spans="1:12" x14ac:dyDescent="0.25">
      <c r="A28" s="6" t="s">
        <v>35</v>
      </c>
      <c r="B28" s="85"/>
      <c r="C28" s="85" t="s">
        <v>736</v>
      </c>
      <c r="D28" s="85">
        <v>2560000</v>
      </c>
      <c r="E28" s="85"/>
      <c r="F28" s="85"/>
      <c r="G28" s="85"/>
      <c r="H28" s="85"/>
      <c r="I28" s="85"/>
      <c r="J28" s="85">
        <f t="shared" si="7"/>
        <v>2560000</v>
      </c>
      <c r="K28" s="85">
        <f t="shared" si="8"/>
        <v>0</v>
      </c>
      <c r="L28" s="70"/>
    </row>
    <row r="29" spans="1:12" x14ac:dyDescent="0.25">
      <c r="A29" s="6" t="s">
        <v>41</v>
      </c>
      <c r="B29" s="85"/>
      <c r="C29" s="85" t="s">
        <v>740</v>
      </c>
      <c r="D29" s="85"/>
      <c r="E29" s="85"/>
      <c r="F29" s="85"/>
      <c r="G29" s="85"/>
      <c r="H29" s="85"/>
      <c r="I29" s="85"/>
      <c r="J29" s="85">
        <f t="shared" si="7"/>
        <v>0</v>
      </c>
      <c r="K29" s="85">
        <f t="shared" si="8"/>
        <v>0</v>
      </c>
      <c r="L29" s="70"/>
    </row>
    <row r="30" spans="1:12" ht="32.25" customHeight="1" x14ac:dyDescent="0.25">
      <c r="A30" s="6" t="s">
        <v>42</v>
      </c>
      <c r="B30" s="85"/>
      <c r="C30" s="88" t="s">
        <v>737</v>
      </c>
      <c r="D30" s="85"/>
      <c r="E30" s="85"/>
      <c r="F30" s="85"/>
      <c r="G30" s="85"/>
      <c r="H30" s="85">
        <v>1500000</v>
      </c>
      <c r="I30" s="85"/>
      <c r="J30" s="85">
        <f t="shared" si="7"/>
        <v>1500000</v>
      </c>
      <c r="K30" s="85">
        <f t="shared" si="8"/>
        <v>0</v>
      </c>
      <c r="L30" s="70"/>
    </row>
    <row r="31" spans="1:12" x14ac:dyDescent="0.25">
      <c r="A31" s="6" t="s">
        <v>60</v>
      </c>
      <c r="B31" s="85"/>
      <c r="C31" s="85" t="s">
        <v>744</v>
      </c>
      <c r="D31" s="85"/>
      <c r="E31" s="85"/>
      <c r="F31" s="104">
        <v>270000</v>
      </c>
      <c r="G31" s="85"/>
      <c r="H31" s="85"/>
      <c r="I31" s="85"/>
      <c r="J31" s="85">
        <f t="shared" ref="J31:J32" si="9">+D31+F31+H31</f>
        <v>270000</v>
      </c>
      <c r="K31" s="85">
        <f t="shared" ref="K31" si="10">+E31+G31+I31</f>
        <v>0</v>
      </c>
      <c r="L31" s="70"/>
    </row>
    <row r="32" spans="1:12" x14ac:dyDescent="0.25">
      <c r="A32" s="6" t="s">
        <v>61</v>
      </c>
      <c r="B32" s="85"/>
      <c r="C32" s="85"/>
      <c r="D32" s="85"/>
      <c r="E32" s="85"/>
      <c r="F32" s="85"/>
      <c r="G32" s="85"/>
      <c r="H32" s="85"/>
      <c r="I32" s="85"/>
      <c r="J32" s="85">
        <f t="shared" si="9"/>
        <v>0</v>
      </c>
      <c r="K32" s="85"/>
      <c r="L32" s="70"/>
    </row>
    <row r="33" spans="1:12" x14ac:dyDescent="0.25">
      <c r="A33" s="6" t="s">
        <v>62</v>
      </c>
      <c r="B33" s="85"/>
      <c r="C33" s="85"/>
      <c r="D33" s="85"/>
      <c r="E33" s="85"/>
      <c r="F33" s="85"/>
      <c r="G33" s="85"/>
      <c r="H33" s="85"/>
      <c r="I33" s="85"/>
      <c r="J33" s="85">
        <f t="shared" si="7"/>
        <v>0</v>
      </c>
      <c r="K33" s="85">
        <f t="shared" si="8"/>
        <v>0</v>
      </c>
      <c r="L33" s="70"/>
    </row>
    <row r="34" spans="1:12" ht="27" customHeight="1" x14ac:dyDescent="0.25">
      <c r="A34" s="6" t="s">
        <v>63</v>
      </c>
      <c r="B34" s="173" t="s">
        <v>433</v>
      </c>
      <c r="C34" s="174"/>
      <c r="D34" s="87">
        <f>SUM(D27:D33)</f>
        <v>24560000</v>
      </c>
      <c r="E34" s="87">
        <f t="shared" ref="E34:L34" si="11">SUM(E27:E33)</f>
        <v>0</v>
      </c>
      <c r="F34" s="87">
        <f t="shared" si="11"/>
        <v>270000</v>
      </c>
      <c r="G34" s="87">
        <f t="shared" si="11"/>
        <v>0</v>
      </c>
      <c r="H34" s="87">
        <f t="shared" si="11"/>
        <v>1500000</v>
      </c>
      <c r="I34" s="87">
        <f t="shared" si="11"/>
        <v>0</v>
      </c>
      <c r="J34" s="87">
        <f t="shared" si="11"/>
        <v>26330000</v>
      </c>
      <c r="K34" s="87">
        <f t="shared" si="11"/>
        <v>0</v>
      </c>
      <c r="L34" s="87">
        <f t="shared" si="11"/>
        <v>0</v>
      </c>
    </row>
    <row r="35" spans="1:12" ht="25.5" customHeight="1" x14ac:dyDescent="0.25">
      <c r="A35" s="15" t="s">
        <v>64</v>
      </c>
      <c r="B35" s="175" t="s">
        <v>434</v>
      </c>
      <c r="C35" s="176"/>
      <c r="D35" s="86">
        <f t="shared" ref="D35:L35" si="12">+D10+D21+D25+D34</f>
        <v>508538599</v>
      </c>
      <c r="E35" s="86">
        <f t="shared" si="12"/>
        <v>0</v>
      </c>
      <c r="F35" s="86">
        <f t="shared" si="12"/>
        <v>524000</v>
      </c>
      <c r="G35" s="86">
        <f t="shared" si="12"/>
        <v>0</v>
      </c>
      <c r="H35" s="86">
        <f t="shared" si="12"/>
        <v>2000000</v>
      </c>
      <c r="I35" s="86">
        <f t="shared" si="12"/>
        <v>0</v>
      </c>
      <c r="J35" s="86">
        <f t="shared" si="12"/>
        <v>511062599</v>
      </c>
      <c r="K35" s="86">
        <f t="shared" si="12"/>
        <v>0</v>
      </c>
      <c r="L35" s="86">
        <f t="shared" si="12"/>
        <v>26879257</v>
      </c>
    </row>
  </sheetData>
  <mergeCells count="20">
    <mergeCell ref="L5:L6"/>
    <mergeCell ref="B8:L8"/>
    <mergeCell ref="B11:L11"/>
    <mergeCell ref="B22:L22"/>
    <mergeCell ref="B26:L26"/>
    <mergeCell ref="J5:K5"/>
    <mergeCell ref="D7:E7"/>
    <mergeCell ref="F7:G7"/>
    <mergeCell ref="H7:I7"/>
    <mergeCell ref="J7:K7"/>
    <mergeCell ref="B34:C34"/>
    <mergeCell ref="B35:C35"/>
    <mergeCell ref="B10:C10"/>
    <mergeCell ref="B21:C21"/>
    <mergeCell ref="B25:C25"/>
    <mergeCell ref="A4:A7"/>
    <mergeCell ref="D5:E5"/>
    <mergeCell ref="F5:G5"/>
    <mergeCell ref="H5:I5"/>
    <mergeCell ref="B5:C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8023-8323-4409-8AF2-A5C7148CFF3A}">
  <sheetPr>
    <pageSetUpPr fitToPage="1"/>
  </sheetPr>
  <dimension ref="A1:K10"/>
  <sheetViews>
    <sheetView workbookViewId="0">
      <selection activeCell="C9" sqref="C9"/>
    </sheetView>
  </sheetViews>
  <sheetFormatPr defaultRowHeight="15" x14ac:dyDescent="0.25"/>
  <cols>
    <col min="3" max="3" width="36.5703125" customWidth="1"/>
    <col min="4" max="11" width="16.28515625" customWidth="1"/>
  </cols>
  <sheetData>
    <row r="1" spans="1:11" x14ac:dyDescent="0.25">
      <c r="A1" s="12"/>
      <c r="B1" s="12"/>
      <c r="C1" s="1"/>
      <c r="D1" s="1" t="s">
        <v>57</v>
      </c>
      <c r="E1" s="2"/>
      <c r="F1" s="2"/>
      <c r="G1" s="2"/>
      <c r="H1" s="2"/>
      <c r="I1" s="2" t="s">
        <v>475</v>
      </c>
      <c r="J1" s="2"/>
    </row>
    <row r="2" spans="1:11" x14ac:dyDescent="0.25">
      <c r="A2" s="12"/>
      <c r="B2" s="12"/>
      <c r="C2" s="5"/>
      <c r="D2" s="9" t="s">
        <v>439</v>
      </c>
    </row>
    <row r="4" spans="1:11" x14ac:dyDescent="0.25">
      <c r="A4" s="160" t="s">
        <v>0</v>
      </c>
      <c r="B4" s="27"/>
      <c r="C4" s="17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45.75" customHeight="1" x14ac:dyDescent="0.25">
      <c r="A5" s="160"/>
      <c r="B5" s="134" t="s">
        <v>10</v>
      </c>
      <c r="C5" s="135"/>
      <c r="D5" s="124" t="s">
        <v>16</v>
      </c>
      <c r="E5" s="124"/>
      <c r="F5" s="124" t="s">
        <v>15</v>
      </c>
      <c r="G5" s="124"/>
      <c r="H5" s="124" t="s">
        <v>14</v>
      </c>
      <c r="I5" s="124"/>
      <c r="J5" s="124" t="s">
        <v>43</v>
      </c>
      <c r="K5" s="124"/>
    </row>
    <row r="6" spans="1:11" x14ac:dyDescent="0.25">
      <c r="A6" s="160"/>
      <c r="B6" s="165"/>
      <c r="C6" s="166"/>
      <c r="D6" s="3" t="s">
        <v>11</v>
      </c>
      <c r="E6" s="3" t="s">
        <v>12</v>
      </c>
      <c r="F6" s="3" t="s">
        <v>11</v>
      </c>
      <c r="G6" s="3" t="s">
        <v>12</v>
      </c>
      <c r="H6" s="3" t="s">
        <v>11</v>
      </c>
      <c r="I6" s="3" t="s">
        <v>12</v>
      </c>
      <c r="J6" s="3" t="s">
        <v>11</v>
      </c>
      <c r="K6" s="3" t="s">
        <v>12</v>
      </c>
    </row>
    <row r="7" spans="1:11" x14ac:dyDescent="0.25">
      <c r="A7" s="160"/>
      <c r="B7" s="136"/>
      <c r="C7" s="137"/>
      <c r="D7" s="123" t="s">
        <v>13</v>
      </c>
      <c r="E7" s="128"/>
      <c r="F7" s="123" t="s">
        <v>13</v>
      </c>
      <c r="G7" s="123"/>
      <c r="H7" s="123" t="s">
        <v>13</v>
      </c>
      <c r="I7" s="123"/>
      <c r="J7" s="123" t="s">
        <v>13</v>
      </c>
      <c r="K7" s="123"/>
    </row>
    <row r="8" spans="1:11" ht="27" customHeight="1" x14ac:dyDescent="0.25">
      <c r="A8" s="6" t="s">
        <v>17</v>
      </c>
      <c r="B8" s="178" t="s">
        <v>326</v>
      </c>
      <c r="C8" s="178"/>
      <c r="D8" s="178"/>
      <c r="E8" s="178"/>
      <c r="F8" s="178"/>
      <c r="G8" s="178"/>
      <c r="H8" s="178"/>
      <c r="I8" s="178"/>
      <c r="J8" s="178"/>
      <c r="K8" s="178"/>
    </row>
    <row r="9" spans="1:11" x14ac:dyDescent="0.25">
      <c r="A9" s="6" t="s">
        <v>18</v>
      </c>
      <c r="B9" s="8"/>
      <c r="C9" s="8" t="s">
        <v>730</v>
      </c>
      <c r="D9" s="85">
        <v>182000000</v>
      </c>
      <c r="E9" s="85"/>
      <c r="F9" s="85"/>
      <c r="G9" s="85"/>
      <c r="H9" s="85"/>
      <c r="I9" s="85"/>
      <c r="J9" s="85"/>
      <c r="K9" s="85"/>
    </row>
    <row r="10" spans="1:11" ht="25.5" customHeight="1" x14ac:dyDescent="0.25">
      <c r="A10" s="15" t="s">
        <v>64</v>
      </c>
      <c r="B10" s="180" t="s">
        <v>437</v>
      </c>
      <c r="C10" s="181"/>
      <c r="D10" s="86">
        <f t="shared" ref="D10:K10" si="0">SUM(D9:D9)</f>
        <v>182000000</v>
      </c>
      <c r="E10" s="86">
        <f t="shared" si="0"/>
        <v>0</v>
      </c>
      <c r="F10" s="86">
        <f t="shared" si="0"/>
        <v>0</v>
      </c>
      <c r="G10" s="86">
        <f t="shared" si="0"/>
        <v>0</v>
      </c>
      <c r="H10" s="86">
        <f t="shared" si="0"/>
        <v>0</v>
      </c>
      <c r="I10" s="86">
        <f t="shared" si="0"/>
        <v>0</v>
      </c>
      <c r="J10" s="86">
        <f t="shared" si="0"/>
        <v>0</v>
      </c>
      <c r="K10" s="86">
        <f t="shared" si="0"/>
        <v>0</v>
      </c>
    </row>
  </sheetData>
  <mergeCells count="12">
    <mergeCell ref="B10:C10"/>
    <mergeCell ref="B8:K8"/>
    <mergeCell ref="A4:A7"/>
    <mergeCell ref="B5:C7"/>
    <mergeCell ref="D5:E5"/>
    <mergeCell ref="F5:G5"/>
    <mergeCell ref="H5:I5"/>
    <mergeCell ref="J5:K5"/>
    <mergeCell ref="D7:E7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BA36-5A60-47A0-A7F7-B80AAAE6DE8A}">
  <sheetPr>
    <pageSetUpPr fitToPage="1"/>
  </sheetPr>
  <dimension ref="A1:F51"/>
  <sheetViews>
    <sheetView tabSelected="1" workbookViewId="0">
      <selection activeCell="E36" sqref="E36"/>
    </sheetView>
  </sheetViews>
  <sheetFormatPr defaultRowHeight="15" x14ac:dyDescent="0.25"/>
  <cols>
    <col min="1" max="1" width="9.140625" customWidth="1"/>
    <col min="2" max="2" width="55.85546875" customWidth="1"/>
    <col min="3" max="5" width="25.28515625" customWidth="1"/>
    <col min="6" max="6" width="24.28515625" customWidth="1"/>
  </cols>
  <sheetData>
    <row r="1" spans="1:6" x14ac:dyDescent="0.25">
      <c r="A1" s="12"/>
      <c r="B1" s="9"/>
      <c r="C1" s="9" t="s">
        <v>57</v>
      </c>
      <c r="D1" s="2"/>
      <c r="F1" s="33" t="s">
        <v>479</v>
      </c>
    </row>
    <row r="2" spans="1:6" x14ac:dyDescent="0.25">
      <c r="B2" s="12"/>
      <c r="C2" s="12" t="s">
        <v>476</v>
      </c>
    </row>
    <row r="3" spans="1:6" x14ac:dyDescent="0.25">
      <c r="B3" s="12"/>
      <c r="C3" s="12" t="s">
        <v>495</v>
      </c>
    </row>
    <row r="5" spans="1:6" ht="45.75" customHeight="1" x14ac:dyDescent="0.25">
      <c r="A5" s="182" t="s">
        <v>0</v>
      </c>
      <c r="B5" s="182" t="s">
        <v>10</v>
      </c>
      <c r="C5" s="184" t="s">
        <v>477</v>
      </c>
      <c r="D5" s="184"/>
      <c r="E5" s="185"/>
      <c r="F5" s="186" t="s">
        <v>480</v>
      </c>
    </row>
    <row r="6" spans="1:6" x14ac:dyDescent="0.25">
      <c r="A6" s="182"/>
      <c r="B6" s="182"/>
      <c r="C6" s="30">
        <v>2026</v>
      </c>
      <c r="D6" s="30">
        <v>2027</v>
      </c>
      <c r="E6" s="31">
        <v>2028</v>
      </c>
      <c r="F6" s="187"/>
    </row>
    <row r="7" spans="1:6" s="12" customFormat="1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</row>
    <row r="8" spans="1:6" x14ac:dyDescent="0.25">
      <c r="A8" s="6" t="s">
        <v>17</v>
      </c>
      <c r="B8" s="7"/>
      <c r="C8" s="7"/>
      <c r="D8" s="7"/>
      <c r="E8" s="7"/>
      <c r="F8" s="7"/>
    </row>
    <row r="9" spans="1:6" x14ac:dyDescent="0.25">
      <c r="A9" s="6" t="s">
        <v>18</v>
      </c>
      <c r="B9" s="7"/>
      <c r="C9" s="7"/>
      <c r="D9" s="7"/>
      <c r="E9" s="7"/>
      <c r="F9" s="7"/>
    </row>
    <row r="10" spans="1:6" x14ac:dyDescent="0.25">
      <c r="A10" s="6" t="s">
        <v>19</v>
      </c>
      <c r="B10" s="7"/>
      <c r="C10" s="7"/>
      <c r="D10" s="7"/>
      <c r="E10" s="7"/>
      <c r="F10" s="7"/>
    </row>
    <row r="11" spans="1:6" x14ac:dyDescent="0.25">
      <c r="A11" s="6" t="s">
        <v>20</v>
      </c>
      <c r="B11" s="7"/>
      <c r="C11" s="7"/>
      <c r="D11" s="7"/>
      <c r="E11" s="7"/>
      <c r="F11" s="7"/>
    </row>
    <row r="12" spans="1:6" x14ac:dyDescent="0.25">
      <c r="A12" s="6" t="s">
        <v>21</v>
      </c>
      <c r="B12" s="7"/>
      <c r="C12" s="7"/>
      <c r="D12" s="7"/>
      <c r="E12" s="7"/>
      <c r="F12" s="7"/>
    </row>
    <row r="13" spans="1:6" x14ac:dyDescent="0.25">
      <c r="A13" s="6" t="s">
        <v>22</v>
      </c>
      <c r="B13" s="7"/>
      <c r="C13" s="7"/>
      <c r="D13" s="7"/>
      <c r="E13" s="7"/>
      <c r="F13" s="7"/>
    </row>
    <row r="14" spans="1:6" x14ac:dyDescent="0.25">
      <c r="A14" s="6" t="s">
        <v>23</v>
      </c>
      <c r="B14" s="7"/>
      <c r="C14" s="7"/>
      <c r="D14" s="7"/>
      <c r="E14" s="7"/>
      <c r="F14" s="7"/>
    </row>
    <row r="15" spans="1:6" x14ac:dyDescent="0.25">
      <c r="A15" s="6" t="s">
        <v>24</v>
      </c>
      <c r="B15" s="7"/>
      <c r="C15" s="7"/>
      <c r="D15" s="7"/>
      <c r="E15" s="7"/>
      <c r="F15" s="7"/>
    </row>
    <row r="16" spans="1:6" x14ac:dyDescent="0.25">
      <c r="A16" s="6" t="s">
        <v>25</v>
      </c>
      <c r="B16" s="7"/>
      <c r="C16" s="7"/>
      <c r="D16" s="7"/>
      <c r="E16" s="7"/>
      <c r="F16" s="7"/>
    </row>
    <row r="17" spans="1:6" x14ac:dyDescent="0.25">
      <c r="A17" s="6" t="s">
        <v>26</v>
      </c>
      <c r="B17" s="11" t="s">
        <v>478</v>
      </c>
      <c r="C17" s="11">
        <f>SUM(C8:C16)</f>
        <v>0</v>
      </c>
      <c r="D17" s="11">
        <f t="shared" ref="D17:F17" si="0">SUM(D8:D16)</f>
        <v>0</v>
      </c>
      <c r="E17" s="11">
        <f t="shared" si="0"/>
        <v>0</v>
      </c>
      <c r="F17" s="11">
        <f t="shared" si="0"/>
        <v>0</v>
      </c>
    </row>
    <row r="21" spans="1:6" x14ac:dyDescent="0.25">
      <c r="C21" s="9" t="s">
        <v>57</v>
      </c>
    </row>
    <row r="22" spans="1:6" x14ac:dyDescent="0.25">
      <c r="C22" s="12" t="s">
        <v>494</v>
      </c>
    </row>
    <row r="23" spans="1:6" x14ac:dyDescent="0.25">
      <c r="C23" s="12" t="s">
        <v>481</v>
      </c>
    </row>
    <row r="24" spans="1:6" x14ac:dyDescent="0.25">
      <c r="C24" s="12" t="s">
        <v>482</v>
      </c>
    </row>
    <row r="26" spans="1:6" x14ac:dyDescent="0.25">
      <c r="A26" s="182" t="s">
        <v>0</v>
      </c>
      <c r="B26" s="182" t="s">
        <v>483</v>
      </c>
      <c r="C26" s="188" t="s">
        <v>484</v>
      </c>
      <c r="E26" s="189"/>
    </row>
    <row r="27" spans="1:6" x14ac:dyDescent="0.25">
      <c r="A27" s="182"/>
      <c r="B27" s="182"/>
      <c r="C27" s="188"/>
      <c r="E27" s="189"/>
    </row>
    <row r="28" spans="1:6" s="29" customFormat="1" x14ac:dyDescent="0.25">
      <c r="A28" s="31">
        <v>1</v>
      </c>
      <c r="B28" s="31">
        <v>2</v>
      </c>
      <c r="C28" s="31">
        <v>3</v>
      </c>
    </row>
    <row r="29" spans="1:6" ht="30" x14ac:dyDescent="0.25">
      <c r="A29" s="6" t="s">
        <v>17</v>
      </c>
      <c r="B29" s="8" t="s">
        <v>486</v>
      </c>
      <c r="C29" s="7"/>
    </row>
    <row r="30" spans="1:6" x14ac:dyDescent="0.25">
      <c r="A30" s="6" t="s">
        <v>18</v>
      </c>
      <c r="B30" s="8" t="s">
        <v>487</v>
      </c>
      <c r="C30" s="70">
        <v>187000000</v>
      </c>
    </row>
    <row r="31" spans="1:6" x14ac:dyDescent="0.25">
      <c r="A31" s="6" t="s">
        <v>19</v>
      </c>
      <c r="B31" s="8" t="s">
        <v>496</v>
      </c>
      <c r="C31" s="7">
        <v>0</v>
      </c>
    </row>
    <row r="32" spans="1:6" ht="30" x14ac:dyDescent="0.25">
      <c r="A32" s="6" t="s">
        <v>20</v>
      </c>
      <c r="B32" s="8" t="s">
        <v>497</v>
      </c>
      <c r="C32" s="7">
        <v>0</v>
      </c>
    </row>
    <row r="33" spans="1:3" x14ac:dyDescent="0.25">
      <c r="A33" s="6" t="s">
        <v>21</v>
      </c>
      <c r="B33" s="8" t="s">
        <v>488</v>
      </c>
      <c r="C33" s="70">
        <v>1500000</v>
      </c>
    </row>
    <row r="34" spans="1:3" ht="30" x14ac:dyDescent="0.25">
      <c r="A34" s="6" t="s">
        <v>22</v>
      </c>
      <c r="B34" s="8" t="s">
        <v>489</v>
      </c>
      <c r="C34" s="7">
        <v>0</v>
      </c>
    </row>
    <row r="35" spans="1:3" x14ac:dyDescent="0.25">
      <c r="A35" s="6" t="s">
        <v>23</v>
      </c>
      <c r="B35" s="11" t="s">
        <v>485</v>
      </c>
      <c r="C35" s="74">
        <f>SUM(C29:C34)</f>
        <v>188500000</v>
      </c>
    </row>
    <row r="39" spans="1:3" x14ac:dyDescent="0.25">
      <c r="C39" s="9" t="s">
        <v>57</v>
      </c>
    </row>
    <row r="40" spans="1:3" x14ac:dyDescent="0.25">
      <c r="C40" s="12" t="s">
        <v>493</v>
      </c>
    </row>
    <row r="42" spans="1:3" x14ac:dyDescent="0.25">
      <c r="A42" s="182" t="s">
        <v>0</v>
      </c>
      <c r="B42" s="182" t="s">
        <v>490</v>
      </c>
      <c r="C42" s="183" t="s">
        <v>491</v>
      </c>
    </row>
    <row r="43" spans="1:3" x14ac:dyDescent="0.25">
      <c r="A43" s="182"/>
      <c r="B43" s="182"/>
      <c r="C43" s="183"/>
    </row>
    <row r="44" spans="1:3" x14ac:dyDescent="0.25">
      <c r="A44" s="31">
        <v>1</v>
      </c>
      <c r="B44" s="31">
        <v>2</v>
      </c>
      <c r="C44" s="31">
        <v>3</v>
      </c>
    </row>
    <row r="45" spans="1:3" x14ac:dyDescent="0.25">
      <c r="A45" s="6" t="s">
        <v>17</v>
      </c>
      <c r="B45" s="8"/>
      <c r="C45" s="7"/>
    </row>
    <row r="46" spans="1:3" x14ac:dyDescent="0.25">
      <c r="A46" s="6" t="s">
        <v>18</v>
      </c>
      <c r="B46" s="8"/>
      <c r="C46" s="7"/>
    </row>
    <row r="47" spans="1:3" x14ac:dyDescent="0.25">
      <c r="A47" s="6" t="s">
        <v>19</v>
      </c>
      <c r="B47" s="8"/>
      <c r="C47" s="7"/>
    </row>
    <row r="48" spans="1:3" x14ac:dyDescent="0.25">
      <c r="A48" s="6" t="s">
        <v>20</v>
      </c>
      <c r="B48" s="8"/>
      <c r="C48" s="7"/>
    </row>
    <row r="49" spans="1:3" x14ac:dyDescent="0.25">
      <c r="A49" s="6" t="s">
        <v>21</v>
      </c>
      <c r="B49" s="8"/>
      <c r="C49" s="7"/>
    </row>
    <row r="50" spans="1:3" x14ac:dyDescent="0.25">
      <c r="A50" s="6" t="s">
        <v>22</v>
      </c>
      <c r="B50" s="8"/>
      <c r="C50" s="7"/>
    </row>
    <row r="51" spans="1:3" ht="30" x14ac:dyDescent="0.25">
      <c r="A51" s="6" t="s">
        <v>23</v>
      </c>
      <c r="B51" s="10" t="s">
        <v>492</v>
      </c>
      <c r="C51" s="11">
        <f>SUM(C45:C50)</f>
        <v>0</v>
      </c>
    </row>
  </sheetData>
  <mergeCells count="11">
    <mergeCell ref="A42:A43"/>
    <mergeCell ref="B42:B43"/>
    <mergeCell ref="C42:C43"/>
    <mergeCell ref="C5:E5"/>
    <mergeCell ref="F5:F6"/>
    <mergeCell ref="A26:A27"/>
    <mergeCell ref="B26:B27"/>
    <mergeCell ref="C26:C27"/>
    <mergeCell ref="E26:E27"/>
    <mergeCell ref="A5:A6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6AB6-96AB-4979-B03D-0C1729D8502C}">
  <sheetPr>
    <pageSetUpPr fitToPage="1"/>
  </sheetPr>
  <dimension ref="A1:H28"/>
  <sheetViews>
    <sheetView workbookViewId="0">
      <selection activeCell="E10" sqref="E10"/>
    </sheetView>
  </sheetViews>
  <sheetFormatPr defaultRowHeight="15" x14ac:dyDescent="0.25"/>
  <cols>
    <col min="2" max="2" width="34.42578125" customWidth="1"/>
    <col min="3" max="3" width="13.7109375" customWidth="1"/>
    <col min="4" max="6" width="24.7109375" customWidth="1"/>
    <col min="7" max="7" width="26.7109375" customWidth="1"/>
  </cols>
  <sheetData>
    <row r="1" spans="1:8" x14ac:dyDescent="0.25">
      <c r="A1" s="12"/>
      <c r="B1" s="9"/>
      <c r="C1" s="9"/>
      <c r="D1" s="9" t="s">
        <v>57</v>
      </c>
      <c r="E1" s="2"/>
      <c r="G1" s="33" t="s">
        <v>507</v>
      </c>
    </row>
    <row r="2" spans="1:8" x14ac:dyDescent="0.25">
      <c r="C2" s="12"/>
      <c r="D2" s="12" t="s">
        <v>498</v>
      </c>
    </row>
    <row r="3" spans="1:8" x14ac:dyDescent="0.25">
      <c r="C3" s="12"/>
      <c r="D3" s="12" t="s">
        <v>499</v>
      </c>
    </row>
    <row r="5" spans="1:8" x14ac:dyDescent="0.25">
      <c r="A5" s="182" t="s">
        <v>0</v>
      </c>
      <c r="B5" s="182" t="s">
        <v>500</v>
      </c>
      <c r="C5" s="186" t="s">
        <v>747</v>
      </c>
      <c r="D5" s="184" t="s">
        <v>501</v>
      </c>
      <c r="E5" s="184"/>
      <c r="F5" s="185"/>
      <c r="G5" s="186" t="s">
        <v>480</v>
      </c>
    </row>
    <row r="6" spans="1:8" x14ac:dyDescent="0.25">
      <c r="A6" s="182"/>
      <c r="B6" s="182"/>
      <c r="C6" s="190"/>
      <c r="D6" s="30">
        <v>2026</v>
      </c>
      <c r="E6" s="30">
        <v>2027</v>
      </c>
      <c r="F6" s="31">
        <v>2028</v>
      </c>
      <c r="G6" s="187"/>
    </row>
    <row r="7" spans="1:8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6</v>
      </c>
    </row>
    <row r="8" spans="1:8" x14ac:dyDescent="0.25">
      <c r="A8" s="13" t="s">
        <v>17</v>
      </c>
      <c r="B8" s="102" t="s">
        <v>52</v>
      </c>
      <c r="C8" s="18"/>
      <c r="D8" s="101">
        <f t="shared" ref="D8:F8" si="0">SUM(D9:D11)</f>
        <v>127988200</v>
      </c>
      <c r="E8" s="101">
        <f t="shared" si="0"/>
        <v>198637697</v>
      </c>
      <c r="F8" s="101">
        <f t="shared" si="0"/>
        <v>0</v>
      </c>
      <c r="G8" s="101">
        <f>SUM(G9:G11)</f>
        <v>326625897</v>
      </c>
    </row>
    <row r="9" spans="1:8" ht="45" x14ac:dyDescent="0.25">
      <c r="A9" s="13" t="s">
        <v>18</v>
      </c>
      <c r="B9" s="8" t="s">
        <v>732</v>
      </c>
      <c r="C9" s="6">
        <v>2026</v>
      </c>
      <c r="D9" s="104">
        <v>127988200</v>
      </c>
      <c r="E9" s="105">
        <f>176756184-127988200</f>
        <v>48767984</v>
      </c>
      <c r="F9" s="81"/>
      <c r="G9" s="81">
        <f t="shared" ref="G9:G10" si="1">+D9+E9+F9</f>
        <v>176756184</v>
      </c>
      <c r="H9" s="103"/>
    </row>
    <row r="10" spans="1:8" x14ac:dyDescent="0.25">
      <c r="A10" s="13" t="s">
        <v>19</v>
      </c>
      <c r="B10" s="7" t="s">
        <v>748</v>
      </c>
      <c r="C10" s="6">
        <v>2026</v>
      </c>
      <c r="D10" s="105">
        <v>0</v>
      </c>
      <c r="E10" s="105">
        <v>149869713</v>
      </c>
      <c r="F10" s="81"/>
      <c r="G10" s="81">
        <f t="shared" si="1"/>
        <v>149869713</v>
      </c>
    </row>
    <row r="11" spans="1:8" x14ac:dyDescent="0.25">
      <c r="A11" s="13" t="s">
        <v>20</v>
      </c>
      <c r="B11" s="7"/>
      <c r="C11" s="6"/>
      <c r="D11" s="81"/>
      <c r="E11" s="81"/>
      <c r="F11" s="81"/>
      <c r="G11" s="81"/>
    </row>
    <row r="12" spans="1:8" x14ac:dyDescent="0.25">
      <c r="A12" s="13" t="s">
        <v>21</v>
      </c>
      <c r="B12" s="102" t="s">
        <v>53</v>
      </c>
      <c r="C12" s="18"/>
      <c r="D12" s="101">
        <f>SUM(D13:D15)</f>
        <v>0</v>
      </c>
      <c r="E12" s="101">
        <f>SUM(E13:E15)</f>
        <v>0</v>
      </c>
      <c r="F12" s="101">
        <f>SUM(F13:F15)</f>
        <v>0</v>
      </c>
      <c r="G12" s="101">
        <f>SUM(G13:G15)</f>
        <v>0</v>
      </c>
    </row>
    <row r="13" spans="1:8" x14ac:dyDescent="0.25">
      <c r="A13" s="13" t="s">
        <v>22</v>
      </c>
      <c r="B13" s="8"/>
      <c r="C13" s="6"/>
      <c r="D13" s="81"/>
      <c r="E13" s="81"/>
      <c r="F13" s="81"/>
      <c r="G13" s="81">
        <f t="shared" ref="G13:G15" si="2">+D13+E13+F13</f>
        <v>0</v>
      </c>
    </row>
    <row r="14" spans="1:8" x14ac:dyDescent="0.25">
      <c r="A14" s="13" t="s">
        <v>23</v>
      </c>
      <c r="B14" s="7"/>
      <c r="C14" s="6"/>
      <c r="D14" s="81"/>
      <c r="E14" s="81"/>
      <c r="F14" s="81"/>
      <c r="G14" s="81">
        <f t="shared" si="2"/>
        <v>0</v>
      </c>
    </row>
    <row r="15" spans="1:8" x14ac:dyDescent="0.25">
      <c r="A15" s="13" t="s">
        <v>24</v>
      </c>
      <c r="B15" s="7"/>
      <c r="C15" s="6"/>
      <c r="D15" s="81"/>
      <c r="E15" s="81"/>
      <c r="F15" s="81"/>
      <c r="G15" s="81">
        <f t="shared" si="2"/>
        <v>0</v>
      </c>
    </row>
    <row r="16" spans="1:8" x14ac:dyDescent="0.25">
      <c r="A16" s="13" t="s">
        <v>25</v>
      </c>
      <c r="B16" s="102" t="s">
        <v>502</v>
      </c>
      <c r="C16" s="18"/>
      <c r="D16" s="101">
        <f>SUM(D17:D19)</f>
        <v>0</v>
      </c>
      <c r="E16" s="101">
        <f>SUM(E17:E19)</f>
        <v>0</v>
      </c>
      <c r="F16" s="101">
        <f>SUM(F17:F19)</f>
        <v>0</v>
      </c>
      <c r="G16" s="101">
        <f>SUM(G17:G19)</f>
        <v>0</v>
      </c>
    </row>
    <row r="17" spans="1:7" x14ac:dyDescent="0.25">
      <c r="A17" s="13" t="s">
        <v>26</v>
      </c>
      <c r="B17" s="7"/>
      <c r="C17" s="6"/>
      <c r="D17" s="81"/>
      <c r="E17" s="81"/>
      <c r="F17" s="81"/>
      <c r="G17" s="81">
        <f t="shared" ref="G17:G19" si="3">+D17+E17+F17</f>
        <v>0</v>
      </c>
    </row>
    <row r="18" spans="1:7" x14ac:dyDescent="0.25">
      <c r="A18" s="13" t="s">
        <v>27</v>
      </c>
      <c r="B18" s="7"/>
      <c r="C18" s="6"/>
      <c r="D18" s="81"/>
      <c r="E18" s="81"/>
      <c r="F18" s="81"/>
      <c r="G18" s="81">
        <f t="shared" si="3"/>
        <v>0</v>
      </c>
    </row>
    <row r="19" spans="1:7" x14ac:dyDescent="0.25">
      <c r="A19" s="13" t="s">
        <v>28</v>
      </c>
      <c r="B19" s="7"/>
      <c r="C19" s="6"/>
      <c r="D19" s="81"/>
      <c r="E19" s="81"/>
      <c r="F19" s="81"/>
      <c r="G19" s="81">
        <f t="shared" si="3"/>
        <v>0</v>
      </c>
    </row>
    <row r="20" spans="1:7" x14ac:dyDescent="0.25">
      <c r="A20" s="13" t="s">
        <v>29</v>
      </c>
      <c r="B20" s="102" t="s">
        <v>503</v>
      </c>
      <c r="C20" s="18"/>
      <c r="D20" s="101">
        <f>SUM(D21:D23)</f>
        <v>0</v>
      </c>
      <c r="E20" s="101">
        <f t="shared" ref="E20:G20" si="4">SUM(E21:E23)</f>
        <v>0</v>
      </c>
      <c r="F20" s="101">
        <f t="shared" si="4"/>
        <v>0</v>
      </c>
      <c r="G20" s="101">
        <f t="shared" si="4"/>
        <v>0</v>
      </c>
    </row>
    <row r="21" spans="1:7" x14ac:dyDescent="0.25">
      <c r="A21" s="13" t="s">
        <v>30</v>
      </c>
      <c r="B21" s="7"/>
      <c r="C21" s="6"/>
      <c r="D21" s="81"/>
      <c r="E21" s="81"/>
      <c r="F21" s="81"/>
      <c r="G21" s="81">
        <f t="shared" ref="G21:G27" si="5">+D21+E21+F21</f>
        <v>0</v>
      </c>
    </row>
    <row r="22" spans="1:7" x14ac:dyDescent="0.25">
      <c r="A22" s="13" t="s">
        <v>31</v>
      </c>
      <c r="B22" s="7"/>
      <c r="C22" s="6"/>
      <c r="D22" s="81"/>
      <c r="E22" s="81"/>
      <c r="F22" s="81"/>
      <c r="G22" s="81">
        <f t="shared" si="5"/>
        <v>0</v>
      </c>
    </row>
    <row r="23" spans="1:7" x14ac:dyDescent="0.25">
      <c r="A23" s="13" t="s">
        <v>32</v>
      </c>
      <c r="B23" s="7"/>
      <c r="C23" s="6"/>
      <c r="D23" s="81"/>
      <c r="E23" s="81"/>
      <c r="F23" s="81"/>
      <c r="G23" s="81">
        <f t="shared" si="5"/>
        <v>0</v>
      </c>
    </row>
    <row r="24" spans="1:7" x14ac:dyDescent="0.25">
      <c r="A24" s="13" t="s">
        <v>33</v>
      </c>
      <c r="B24" s="102" t="s">
        <v>504</v>
      </c>
      <c r="C24" s="18"/>
      <c r="D24" s="101">
        <f>SUM(D25:D27)</f>
        <v>0</v>
      </c>
      <c r="E24" s="101">
        <f t="shared" ref="E24:G24" si="6">SUM(E25:E27)</f>
        <v>0</v>
      </c>
      <c r="F24" s="101">
        <f t="shared" si="6"/>
        <v>0</v>
      </c>
      <c r="G24" s="101">
        <f t="shared" si="6"/>
        <v>0</v>
      </c>
    </row>
    <row r="25" spans="1:7" x14ac:dyDescent="0.25">
      <c r="A25" s="13" t="s">
        <v>34</v>
      </c>
      <c r="B25" s="7"/>
      <c r="C25" s="6"/>
      <c r="D25" s="81"/>
      <c r="E25" s="81"/>
      <c r="F25" s="81"/>
      <c r="G25" s="81">
        <f t="shared" si="5"/>
        <v>0</v>
      </c>
    </row>
    <row r="26" spans="1:7" x14ac:dyDescent="0.25">
      <c r="A26" s="13" t="s">
        <v>35</v>
      </c>
      <c r="B26" s="7"/>
      <c r="C26" s="6"/>
      <c r="D26" s="81"/>
      <c r="E26" s="81"/>
      <c r="F26" s="81"/>
      <c r="G26" s="81">
        <f t="shared" si="5"/>
        <v>0</v>
      </c>
    </row>
    <row r="27" spans="1:7" x14ac:dyDescent="0.25">
      <c r="A27" s="13" t="s">
        <v>36</v>
      </c>
      <c r="B27" s="7"/>
      <c r="C27" s="6"/>
      <c r="D27" s="81"/>
      <c r="E27" s="81"/>
      <c r="F27" s="81"/>
      <c r="G27" s="81">
        <f t="shared" si="5"/>
        <v>0</v>
      </c>
    </row>
    <row r="28" spans="1:7" x14ac:dyDescent="0.25">
      <c r="A28" s="28" t="s">
        <v>37</v>
      </c>
      <c r="B28" s="16" t="s">
        <v>505</v>
      </c>
      <c r="C28" s="15"/>
      <c r="D28" s="89">
        <f>+D8+D12+D16+D20+D24</f>
        <v>127988200</v>
      </c>
      <c r="E28" s="89">
        <f>+E8+E12+E16+E20+E24</f>
        <v>198637697</v>
      </c>
      <c r="F28" s="89">
        <f>+F8+F12+F16+F20+F24</f>
        <v>0</v>
      </c>
      <c r="G28" s="89">
        <f>+G8+G12+G16+G20+G24</f>
        <v>326625897</v>
      </c>
    </row>
  </sheetData>
  <mergeCells count="5">
    <mergeCell ref="A5:A6"/>
    <mergeCell ref="B5:B6"/>
    <mergeCell ref="D5:F5"/>
    <mergeCell ref="G5:G6"/>
    <mergeCell ref="C5:C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 Matolcsi</dc:creator>
  <cp:lastModifiedBy>Julianna Robotka</cp:lastModifiedBy>
  <cp:lastPrinted>2026-02-18T14:06:13Z</cp:lastPrinted>
  <dcterms:created xsi:type="dcterms:W3CDTF">2026-01-05T08:42:06Z</dcterms:created>
  <dcterms:modified xsi:type="dcterms:W3CDTF">2026-02-20T08:58:50Z</dcterms:modified>
</cp:coreProperties>
</file>